
<file path=[Content_Types].xml><?xml version="1.0" encoding="utf-8"?>
<Types xmlns="http://schemas.openxmlformats.org/package/2006/content-types">
  <Override PartName="/xl/activeX/activeX2.bin" ContentType="application/vnd.ms-office.activeX"/>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drawings/drawing9.xml" ContentType="application/vnd.openxmlformats-officedocument.drawingml.chartshapes+xml"/>
  <Override PartName="/xl/charts/chart7.xml" ContentType="application/vnd.openxmlformats-officedocument.drawingml.chart+xml"/>
  <Override PartName="/xl/activeX/activeX1.bin" ContentType="application/vnd.ms-office.activeX"/>
  <Override PartName="/xl/drawings/drawing7.xml" ContentType="application/vnd.openxmlformats-officedocument.drawingml.chartshape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6105" yWindow="-15" windowWidth="6150" windowHeight="6720" tabRatio="595"/>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na" sheetId="11" r:id="rId11"/>
    <sheet name="Ellipse"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25725" iterate="1" iterateCount="1" calcOnSave="0"/>
</workbook>
</file>

<file path=xl/calcChain.xml><?xml version="1.0" encoding="utf-8"?>
<calcChain xmlns="http://schemas.openxmlformats.org/spreadsheetml/2006/main">
  <c r="J1" i="8"/>
  <c r="M1"/>
  <c r="AJ1"/>
  <c r="AM1"/>
  <c r="J2"/>
  <c r="M2"/>
  <c r="AJ2"/>
  <c r="AM2"/>
  <c r="J3"/>
  <c r="M3"/>
  <c r="AJ3"/>
  <c r="AM3"/>
  <c r="B4"/>
  <c r="M4"/>
  <c r="AM4"/>
  <c r="E5"/>
  <c r="J5"/>
  <c r="M5"/>
  <c r="AJ5"/>
  <c r="AM5"/>
  <c r="J6"/>
  <c r="M6"/>
  <c r="AJ6"/>
  <c r="AM6"/>
  <c r="B7"/>
  <c r="D7"/>
  <c r="M7"/>
  <c r="AM7"/>
  <c r="A8"/>
  <c r="B8"/>
  <c r="G8"/>
  <c r="I8"/>
  <c r="M8"/>
  <c r="AM8"/>
  <c r="B9"/>
  <c r="D9"/>
  <c r="G9"/>
  <c r="J9"/>
  <c r="L21" s="1"/>
  <c r="M9"/>
  <c r="AJ9"/>
  <c r="AM9"/>
  <c r="B10"/>
  <c r="D10"/>
  <c r="G10"/>
  <c r="M10"/>
  <c r="AM10"/>
  <c r="B11"/>
  <c r="D11"/>
  <c r="E11"/>
  <c r="M11"/>
  <c r="AM11"/>
  <c r="B12"/>
  <c r="E12"/>
  <c r="F12"/>
  <c r="H21" s="1"/>
  <c r="G12"/>
  <c r="M12"/>
  <c r="AM12"/>
  <c r="B13"/>
  <c r="F13"/>
  <c r="M13"/>
  <c r="AK13"/>
  <c r="AM13"/>
  <c r="B14"/>
  <c r="K14"/>
  <c r="M14"/>
  <c r="AK14"/>
  <c r="AM14"/>
  <c r="B15"/>
  <c r="E15"/>
  <c r="J15"/>
  <c r="M15"/>
  <c r="AJ15"/>
  <c r="AM15"/>
  <c r="B16"/>
  <c r="E16"/>
  <c r="J16"/>
  <c r="M16"/>
  <c r="AJ16"/>
  <c r="AM16"/>
  <c r="B17"/>
  <c r="K13" s="1"/>
  <c r="E17"/>
  <c r="J17"/>
  <c r="M17"/>
  <c r="AJ17"/>
  <c r="AM17"/>
  <c r="B18"/>
  <c r="F18"/>
  <c r="G18"/>
  <c r="K18"/>
  <c r="C16" s="1"/>
  <c r="M18"/>
  <c r="AK18"/>
  <c r="AM18"/>
  <c r="B19"/>
  <c r="H19"/>
  <c r="I19"/>
  <c r="J19"/>
  <c r="M19"/>
  <c r="AM19"/>
  <c r="B20"/>
  <c r="E20"/>
  <c r="K20"/>
  <c r="AK20"/>
  <c r="B21"/>
  <c r="E21"/>
  <c r="J21"/>
  <c r="AL21"/>
  <c r="B22"/>
  <c r="D22"/>
  <c r="AJ22"/>
  <c r="C23"/>
  <c r="T23"/>
  <c r="U23"/>
  <c r="AJ23"/>
  <c r="A24"/>
  <c r="B24"/>
  <c r="C24"/>
  <c r="D24" s="1"/>
  <c r="E24"/>
  <c r="G24"/>
  <c r="H24"/>
  <c r="U24"/>
  <c r="K25"/>
  <c r="S25"/>
  <c r="R25" s="1"/>
  <c r="A26"/>
  <c r="F22" s="1"/>
  <c r="C26"/>
  <c r="D26"/>
  <c r="G26"/>
  <c r="H26"/>
  <c r="J26"/>
  <c r="K26"/>
  <c r="L26"/>
  <c r="A28"/>
  <c r="B28" s="1"/>
  <c r="A29"/>
  <c r="B29" s="1"/>
  <c r="D60"/>
  <c r="I61"/>
  <c r="J61"/>
  <c r="B62"/>
  <c r="S24" s="1"/>
  <c r="C62"/>
  <c r="D62"/>
  <c r="T24" s="1"/>
  <c r="G62"/>
  <c r="H62"/>
  <c r="C63"/>
  <c r="H63"/>
  <c r="J63"/>
  <c r="L63" s="1"/>
  <c r="N63" s="1"/>
  <c r="C64"/>
  <c r="H64"/>
  <c r="I64"/>
  <c r="I65" s="1"/>
  <c r="I66" s="1"/>
  <c r="I67" s="1"/>
  <c r="I68" s="1"/>
  <c r="I69" s="1"/>
  <c r="I70" s="1"/>
  <c r="J64"/>
  <c r="L64"/>
  <c r="N64" s="1"/>
  <c r="C65"/>
  <c r="H65"/>
  <c r="J65"/>
  <c r="A65" s="1"/>
  <c r="L65"/>
  <c r="N65"/>
  <c r="C66"/>
  <c r="H66"/>
  <c r="J66"/>
  <c r="A66" s="1"/>
  <c r="K66"/>
  <c r="L66"/>
  <c r="M66"/>
  <c r="N66"/>
  <c r="O66"/>
  <c r="P66" s="1"/>
  <c r="Q66" s="1"/>
  <c r="E66" s="1"/>
  <c r="F66" s="1"/>
  <c r="C67"/>
  <c r="H67"/>
  <c r="J67"/>
  <c r="A67" s="1"/>
  <c r="L67"/>
  <c r="N67"/>
  <c r="C68"/>
  <c r="H68"/>
  <c r="J68"/>
  <c r="A68" s="1"/>
  <c r="K68"/>
  <c r="L68"/>
  <c r="M68"/>
  <c r="N68"/>
  <c r="O68"/>
  <c r="P68" s="1"/>
  <c r="Q68" s="1"/>
  <c r="E68" s="1"/>
  <c r="F68" s="1"/>
  <c r="C69"/>
  <c r="H69"/>
  <c r="J69"/>
  <c r="A69" s="1"/>
  <c r="L69"/>
  <c r="N69"/>
  <c r="C70"/>
  <c r="H70"/>
  <c r="J70"/>
  <c r="A70" s="1"/>
  <c r="K70"/>
  <c r="L70"/>
  <c r="M70"/>
  <c r="N70"/>
  <c r="O70"/>
  <c r="P70" s="1"/>
  <c r="Q70" s="1"/>
  <c r="E70" s="1"/>
  <c r="F70" s="1"/>
  <c r="C71"/>
  <c r="H71"/>
  <c r="J71"/>
  <c r="A71" s="1"/>
  <c r="L71"/>
  <c r="N71" s="1"/>
  <c r="C72"/>
  <c r="H72"/>
  <c r="I72"/>
  <c r="J72"/>
  <c r="K72" s="1"/>
  <c r="L72"/>
  <c r="N72" s="1"/>
  <c r="C73"/>
  <c r="H73"/>
  <c r="I73"/>
  <c r="J73"/>
  <c r="K73" s="1"/>
  <c r="L73"/>
  <c r="N73" s="1"/>
  <c r="C74"/>
  <c r="H74"/>
  <c r="I74"/>
  <c r="J74"/>
  <c r="K74" s="1"/>
  <c r="L74"/>
  <c r="N74" s="1"/>
  <c r="C75"/>
  <c r="H75"/>
  <c r="I75"/>
  <c r="J75"/>
  <c r="K75" s="1"/>
  <c r="L75"/>
  <c r="N75" s="1"/>
  <c r="C76"/>
  <c r="H76"/>
  <c r="I76"/>
  <c r="J76"/>
  <c r="K76" s="1"/>
  <c r="L76"/>
  <c r="N76" s="1"/>
  <c r="C77"/>
  <c r="H77"/>
  <c r="I77"/>
  <c r="J77"/>
  <c r="K77" s="1"/>
  <c r="L77"/>
  <c r="N77" s="1"/>
  <c r="C78"/>
  <c r="H78"/>
  <c r="I78"/>
  <c r="J78"/>
  <c r="K78" s="1"/>
  <c r="L78"/>
  <c r="N78" s="1"/>
  <c r="J79"/>
  <c r="K79" s="1"/>
  <c r="B80"/>
  <c r="F80"/>
  <c r="H80"/>
  <c r="B82"/>
  <c r="C82"/>
  <c r="B83"/>
  <c r="B87" s="1"/>
  <c r="B91" s="1"/>
  <c r="C83"/>
  <c r="D83"/>
  <c r="E83"/>
  <c r="F83"/>
  <c r="G83"/>
  <c r="H83"/>
  <c r="I83"/>
  <c r="J83"/>
  <c r="K83"/>
  <c r="L83"/>
  <c r="M83"/>
  <c r="N83"/>
  <c r="B84"/>
  <c r="C84"/>
  <c r="D84"/>
  <c r="E84"/>
  <c r="F84"/>
  <c r="G84"/>
  <c r="H84"/>
  <c r="I84"/>
  <c r="J84"/>
  <c r="K84"/>
  <c r="L84"/>
  <c r="M84"/>
  <c r="N84"/>
  <c r="B86"/>
  <c r="B90" s="1"/>
  <c r="C87"/>
  <c r="D87"/>
  <c r="E87"/>
  <c r="F87"/>
  <c r="G87"/>
  <c r="H87"/>
  <c r="I87"/>
  <c r="J87"/>
  <c r="K87"/>
  <c r="L87"/>
  <c r="M87"/>
  <c r="N87"/>
  <c r="B88"/>
  <c r="B92" s="1"/>
  <c r="C88"/>
  <c r="D88"/>
  <c r="E88"/>
  <c r="F88"/>
  <c r="G88"/>
  <c r="H88"/>
  <c r="I88"/>
  <c r="J88"/>
  <c r="K88"/>
  <c r="L88"/>
  <c r="M88"/>
  <c r="N88"/>
  <c r="C91"/>
  <c r="D91"/>
  <c r="E91"/>
  <c r="F91"/>
  <c r="G91"/>
  <c r="H91"/>
  <c r="I91"/>
  <c r="J91"/>
  <c r="K91"/>
  <c r="L91"/>
  <c r="M91"/>
  <c r="N91"/>
  <c r="C92"/>
  <c r="D92"/>
  <c r="E92"/>
  <c r="F92"/>
  <c r="G92"/>
  <c r="H92"/>
  <c r="I92"/>
  <c r="J92"/>
  <c r="K92"/>
  <c r="L92"/>
  <c r="M92"/>
  <c r="N92"/>
  <c r="C95"/>
  <c r="F95"/>
  <c r="B96"/>
  <c r="C96"/>
  <c r="D96"/>
  <c r="F96"/>
  <c r="G96"/>
  <c r="J96"/>
  <c r="B97"/>
  <c r="C97" s="1"/>
  <c r="J97"/>
  <c r="M97"/>
  <c r="N97" s="1"/>
  <c r="C98"/>
  <c r="D98"/>
  <c r="E98"/>
  <c r="G98"/>
  <c r="M98"/>
  <c r="N98" s="1"/>
  <c r="N100" s="1"/>
  <c r="C99"/>
  <c r="D99"/>
  <c r="E99"/>
  <c r="G99"/>
  <c r="C100"/>
  <c r="D100"/>
  <c r="G100" s="1"/>
  <c r="E100"/>
  <c r="B104"/>
  <c r="B105"/>
  <c r="D105"/>
  <c r="H105" s="1"/>
  <c r="J105"/>
  <c r="B106"/>
  <c r="E106"/>
  <c r="J106"/>
  <c r="B107"/>
  <c r="J107"/>
  <c r="B108"/>
  <c r="E108"/>
  <c r="J108"/>
  <c r="B109"/>
  <c r="D109"/>
  <c r="I17" s="1"/>
  <c r="J109"/>
  <c r="B110"/>
  <c r="B111"/>
  <c r="D111"/>
  <c r="D112" s="1"/>
  <c r="A1" i="10"/>
  <c r="B9" s="1"/>
  <c r="C9" s="1"/>
  <c r="B1"/>
  <c r="C1"/>
  <c r="A2"/>
  <c r="A3"/>
  <c r="C3"/>
  <c r="A4"/>
  <c r="C4"/>
  <c r="A5"/>
  <c r="C5"/>
  <c r="A6"/>
  <c r="C6"/>
  <c r="L6"/>
  <c r="A7"/>
  <c r="C7"/>
  <c r="D8"/>
  <c r="E8"/>
  <c r="F8" s="1"/>
  <c r="J8" s="1"/>
  <c r="D9"/>
  <c r="E9" s="1"/>
  <c r="K9" s="1"/>
  <c r="D10"/>
  <c r="E10" s="1"/>
  <c r="F10" s="1"/>
  <c r="J10" s="1"/>
  <c r="D11"/>
  <c r="E11" s="1"/>
  <c r="K11" s="1"/>
  <c r="D12"/>
  <c r="E12"/>
  <c r="K12" s="1"/>
  <c r="D13"/>
  <c r="E13" s="1"/>
  <c r="D14"/>
  <c r="E14"/>
  <c r="K14" s="1"/>
  <c r="A15"/>
  <c r="D15"/>
  <c r="E15"/>
  <c r="K15" s="1"/>
  <c r="A16"/>
  <c r="B16"/>
  <c r="D16"/>
  <c r="E16" s="1"/>
  <c r="A17"/>
  <c r="B17"/>
  <c r="D17"/>
  <c r="E17"/>
  <c r="K17" s="1"/>
  <c r="A18"/>
  <c r="B18"/>
  <c r="D18"/>
  <c r="E18" s="1"/>
  <c r="A19"/>
  <c r="B19"/>
  <c r="D19"/>
  <c r="E19"/>
  <c r="K19" s="1"/>
  <c r="A20"/>
  <c r="B20"/>
  <c r="D20"/>
  <c r="E20" s="1"/>
  <c r="C22"/>
  <c r="F9" l="1"/>
  <c r="J9" s="1"/>
  <c r="I9" s="1"/>
  <c r="L9" s="1"/>
  <c r="M69" i="8"/>
  <c r="O69" s="1"/>
  <c r="P69" s="1"/>
  <c r="Q69" s="1"/>
  <c r="E69" s="1"/>
  <c r="F69" s="1"/>
  <c r="K69"/>
  <c r="M67"/>
  <c r="O67" s="1"/>
  <c r="P67" s="1"/>
  <c r="Q67" s="1"/>
  <c r="E67" s="1"/>
  <c r="F67" s="1"/>
  <c r="K67"/>
  <c r="M65"/>
  <c r="O65" s="1"/>
  <c r="P65" s="1"/>
  <c r="Q65" s="1"/>
  <c r="E65" s="1"/>
  <c r="F65" s="1"/>
  <c r="K65"/>
  <c r="A30"/>
  <c r="C28"/>
  <c r="D28" s="1"/>
  <c r="E28" s="1"/>
  <c r="C30"/>
  <c r="D30" s="1"/>
  <c r="E30" s="1"/>
  <c r="C29"/>
  <c r="D29" s="1"/>
  <c r="E29" s="1"/>
  <c r="F19" i="10"/>
  <c r="J19" s="1"/>
  <c r="I19" s="1"/>
  <c r="L19" s="1"/>
  <c r="F17"/>
  <c r="J17" s="1"/>
  <c r="I17" s="1"/>
  <c r="L17" s="1"/>
  <c r="F15"/>
  <c r="J15" s="1"/>
  <c r="I15" s="1"/>
  <c r="L15" s="1"/>
  <c r="F14"/>
  <c r="J14" s="1"/>
  <c r="I14" s="1"/>
  <c r="L14" s="1"/>
  <c r="F12"/>
  <c r="J12" s="1"/>
  <c r="I12" s="1"/>
  <c r="L12" s="1"/>
  <c r="F11"/>
  <c r="J11" s="1"/>
  <c r="I11" s="1"/>
  <c r="L11" s="1"/>
  <c r="K10"/>
  <c r="I10" s="1"/>
  <c r="L10" s="1"/>
  <c r="K8"/>
  <c r="L79" i="8"/>
  <c r="N79" s="1"/>
  <c r="D97"/>
  <c r="G97" s="1"/>
  <c r="F29"/>
  <c r="G29" s="1"/>
  <c r="K100"/>
  <c r="K99"/>
  <c r="K18" i="10"/>
  <c r="F18"/>
  <c r="J18" s="1"/>
  <c r="K13"/>
  <c r="F13"/>
  <c r="J13" s="1"/>
  <c r="K20"/>
  <c r="F20"/>
  <c r="J20" s="1"/>
  <c r="K16"/>
  <c r="F16"/>
  <c r="J16" s="1"/>
  <c r="H109" i="8"/>
  <c r="H107"/>
  <c r="I8" i="10"/>
  <c r="L8" s="1"/>
  <c r="D70" i="8"/>
  <c r="G70" s="1"/>
  <c r="D68"/>
  <c r="G68" s="1"/>
  <c r="D66"/>
  <c r="G66" s="1"/>
  <c r="N101"/>
  <c r="D69"/>
  <c r="G69" s="1"/>
  <c r="D67"/>
  <c r="G67" s="1"/>
  <c r="D65"/>
  <c r="G65" s="1"/>
  <c r="I9"/>
  <c r="H10"/>
  <c r="I21"/>
  <c r="K9"/>
  <c r="A78"/>
  <c r="A77"/>
  <c r="A76"/>
  <c r="A75"/>
  <c r="A74"/>
  <c r="A73"/>
  <c r="A72"/>
  <c r="I10"/>
  <c r="K64"/>
  <c r="M64"/>
  <c r="A63"/>
  <c r="K63"/>
  <c r="M63"/>
  <c r="G15"/>
  <c r="G16" s="1"/>
  <c r="D106"/>
  <c r="D107" s="1"/>
  <c r="D108" s="1"/>
  <c r="G21" s="1"/>
  <c r="E97"/>
  <c r="M79"/>
  <c r="M78"/>
  <c r="M77"/>
  <c r="M76"/>
  <c r="M75"/>
  <c r="M74"/>
  <c r="M73"/>
  <c r="M72"/>
  <c r="M71"/>
  <c r="K71"/>
  <c r="A64"/>
  <c r="F30"/>
  <c r="H29"/>
  <c r="F28"/>
  <c r="S26"/>
  <c r="AJ18"/>
  <c r="AK9"/>
  <c r="H9"/>
  <c r="B30" l="1"/>
  <c r="A31"/>
  <c r="I16" i="10"/>
  <c r="L16" s="1"/>
  <c r="I20"/>
  <c r="L20" s="1"/>
  <c r="I13"/>
  <c r="L13" s="1"/>
  <c r="I18"/>
  <c r="L18" s="1"/>
  <c r="Q29" i="8"/>
  <c r="G106"/>
  <c r="G108"/>
  <c r="R26"/>
  <c r="D82"/>
  <c r="S27"/>
  <c r="G28"/>
  <c r="H28"/>
  <c r="Q28"/>
  <c r="G30"/>
  <c r="H30"/>
  <c r="Q30"/>
  <c r="O71"/>
  <c r="P71" s="1"/>
  <c r="Q71" s="1"/>
  <c r="E71" s="1"/>
  <c r="F71" s="1"/>
  <c r="O73"/>
  <c r="P73" s="1"/>
  <c r="D73" s="1"/>
  <c r="G73" s="1"/>
  <c r="O75"/>
  <c r="P75" s="1"/>
  <c r="D75" s="1"/>
  <c r="G75" s="1"/>
  <c r="O77"/>
  <c r="P77" s="1"/>
  <c r="D77" s="1"/>
  <c r="G77" s="1"/>
  <c r="O79"/>
  <c r="P79" s="1"/>
  <c r="G20" s="1"/>
  <c r="O64"/>
  <c r="P64" s="1"/>
  <c r="Q64" s="1"/>
  <c r="E64" s="1"/>
  <c r="F64" s="1"/>
  <c r="O72"/>
  <c r="P72" s="1"/>
  <c r="D72" s="1"/>
  <c r="G72" s="1"/>
  <c r="O74"/>
  <c r="P74" s="1"/>
  <c r="D74" s="1"/>
  <c r="G74" s="1"/>
  <c r="O76"/>
  <c r="P76" s="1"/>
  <c r="D76" s="1"/>
  <c r="G76" s="1"/>
  <c r="O78"/>
  <c r="P78" s="1"/>
  <c r="D78" s="1"/>
  <c r="G78" s="1"/>
  <c r="H97" s="1"/>
  <c r="O63"/>
  <c r="P63" s="1"/>
  <c r="D63" s="1"/>
  <c r="D71"/>
  <c r="G71" s="1"/>
  <c r="D64"/>
  <c r="G64" s="1"/>
  <c r="Q63" l="1"/>
  <c r="E63" s="1"/>
  <c r="Q78"/>
  <c r="E78" s="1"/>
  <c r="F78" s="1"/>
  <c r="Q76"/>
  <c r="E76" s="1"/>
  <c r="F76" s="1"/>
  <c r="Q74"/>
  <c r="E74" s="1"/>
  <c r="F74" s="1"/>
  <c r="Q72"/>
  <c r="E72" s="1"/>
  <c r="F72" s="1"/>
  <c r="B31"/>
  <c r="A32"/>
  <c r="C31"/>
  <c r="D31" s="1"/>
  <c r="G63"/>
  <c r="G79" s="1"/>
  <c r="D79"/>
  <c r="K105"/>
  <c r="K106"/>
  <c r="K109"/>
  <c r="F100"/>
  <c r="H100"/>
  <c r="K107"/>
  <c r="K108"/>
  <c r="H98"/>
  <c r="F97"/>
  <c r="H99"/>
  <c r="F98"/>
  <c r="F99"/>
  <c r="R27"/>
  <c r="S28"/>
  <c r="E82"/>
  <c r="Q79"/>
  <c r="Q77"/>
  <c r="E77" s="1"/>
  <c r="F77" s="1"/>
  <c r="Q75"/>
  <c r="E75" s="1"/>
  <c r="F75" s="1"/>
  <c r="Q73"/>
  <c r="E73" s="1"/>
  <c r="F73" s="1"/>
  <c r="F63"/>
  <c r="F79" s="1"/>
  <c r="E79"/>
  <c r="I20"/>
  <c r="K21"/>
  <c r="AK21"/>
  <c r="J20"/>
  <c r="N25"/>
  <c r="G17"/>
  <c r="H20"/>
  <c r="J18"/>
  <c r="AK19"/>
  <c r="K19"/>
  <c r="E31" l="1"/>
  <c r="F31"/>
  <c r="B32"/>
  <c r="C32"/>
  <c r="D32" s="1"/>
  <c r="A33"/>
  <c r="K12"/>
  <c r="AJ12"/>
  <c r="J12"/>
  <c r="AK12"/>
  <c r="O29"/>
  <c r="O31"/>
  <c r="O32"/>
  <c r="O30"/>
  <c r="O28"/>
  <c r="J14"/>
  <c r="L17"/>
  <c r="AJ14"/>
  <c r="AL17"/>
  <c r="R28"/>
  <c r="F82"/>
  <c r="S29"/>
  <c r="E32" l="1"/>
  <c r="F32"/>
  <c r="G32" s="1"/>
  <c r="G31"/>
  <c r="A34"/>
  <c r="B33"/>
  <c r="C33"/>
  <c r="D33" s="1"/>
  <c r="H31"/>
  <c r="Q31"/>
  <c r="J28"/>
  <c r="J29"/>
  <c r="J30"/>
  <c r="J31"/>
  <c r="J32"/>
  <c r="J33"/>
  <c r="R29"/>
  <c r="S30"/>
  <c r="G82"/>
  <c r="E33" l="1"/>
  <c r="F33"/>
  <c r="G33" s="1"/>
  <c r="O33"/>
  <c r="C34"/>
  <c r="D34" s="1"/>
  <c r="A35"/>
  <c r="B34"/>
  <c r="H32"/>
  <c r="Q32"/>
  <c r="R30"/>
  <c r="H82"/>
  <c r="S31"/>
  <c r="K32"/>
  <c r="P32"/>
  <c r="L32" s="1"/>
  <c r="K30"/>
  <c r="P30"/>
  <c r="L30" s="1"/>
  <c r="K28"/>
  <c r="P28"/>
  <c r="L28" s="1"/>
  <c r="K33"/>
  <c r="P33"/>
  <c r="L33" s="1"/>
  <c r="K31"/>
  <c r="P31"/>
  <c r="L31" s="1"/>
  <c r="K29"/>
  <c r="P29"/>
  <c r="L29" s="1"/>
  <c r="E34" l="1"/>
  <c r="O34"/>
  <c r="F34"/>
  <c r="G34" s="1"/>
  <c r="J34"/>
  <c r="A36"/>
  <c r="B35"/>
  <c r="C35"/>
  <c r="D35" s="1"/>
  <c r="Q33"/>
  <c r="H33"/>
  <c r="M31"/>
  <c r="M33"/>
  <c r="N31"/>
  <c r="N33"/>
  <c r="N30"/>
  <c r="N29" s="1"/>
  <c r="N28" s="1"/>
  <c r="N32"/>
  <c r="R31"/>
  <c r="S32"/>
  <c r="I82"/>
  <c r="M30"/>
  <c r="M29" s="1"/>
  <c r="M28" s="1"/>
  <c r="M32"/>
  <c r="P34" l="1"/>
  <c r="L34" s="1"/>
  <c r="K34"/>
  <c r="O35"/>
  <c r="E35"/>
  <c r="F35"/>
  <c r="G35" s="1"/>
  <c r="J35"/>
  <c r="K35" s="1"/>
  <c r="P35"/>
  <c r="L35" s="1"/>
  <c r="A37"/>
  <c r="C36"/>
  <c r="D36" s="1"/>
  <c r="B36"/>
  <c r="H34"/>
  <c r="Q34"/>
  <c r="R32"/>
  <c r="J82"/>
  <c r="S33"/>
  <c r="C37" l="1"/>
  <c r="D37" s="1"/>
  <c r="B37"/>
  <c r="A38"/>
  <c r="N35"/>
  <c r="M35"/>
  <c r="Q35"/>
  <c r="H35"/>
  <c r="N34"/>
  <c r="M34"/>
  <c r="J36"/>
  <c r="F36"/>
  <c r="P36"/>
  <c r="E36"/>
  <c r="O36"/>
  <c r="L36" s="1"/>
  <c r="R33"/>
  <c r="S34"/>
  <c r="K82"/>
  <c r="K36" l="1"/>
  <c r="N36" s="1"/>
  <c r="M36"/>
  <c r="Q36"/>
  <c r="H36"/>
  <c r="G36"/>
  <c r="A39"/>
  <c r="C38"/>
  <c r="D38" s="1"/>
  <c r="B38"/>
  <c r="F37"/>
  <c r="J37"/>
  <c r="P37" s="1"/>
  <c r="L37" s="1"/>
  <c r="E37"/>
  <c r="O37"/>
  <c r="R34"/>
  <c r="L82"/>
  <c r="S35"/>
  <c r="H37" l="1"/>
  <c r="Q37"/>
  <c r="G37"/>
  <c r="E38"/>
  <c r="O38"/>
  <c r="F38"/>
  <c r="G38" s="1"/>
  <c r="J38"/>
  <c r="K37"/>
  <c r="N37"/>
  <c r="M37"/>
  <c r="C39"/>
  <c r="D39" s="1"/>
  <c r="A40"/>
  <c r="B39"/>
  <c r="R35"/>
  <c r="S36"/>
  <c r="M82"/>
  <c r="C40" l="1"/>
  <c r="D40" s="1"/>
  <c r="A41"/>
  <c r="B40"/>
  <c r="H38"/>
  <c r="Q38"/>
  <c r="F39"/>
  <c r="J39"/>
  <c r="P39" s="1"/>
  <c r="L39" s="1"/>
  <c r="E39"/>
  <c r="O39"/>
  <c r="P38"/>
  <c r="L38" s="1"/>
  <c r="K38"/>
  <c r="M38"/>
  <c r="R36"/>
  <c r="N82"/>
  <c r="S37"/>
  <c r="N38" l="1"/>
  <c r="Q39"/>
  <c r="H39"/>
  <c r="G39"/>
  <c r="A42"/>
  <c r="B41"/>
  <c r="C41"/>
  <c r="D41" s="1"/>
  <c r="K39"/>
  <c r="N39" s="1"/>
  <c r="O40"/>
  <c r="F40"/>
  <c r="J40"/>
  <c r="E40"/>
  <c r="R37"/>
  <c r="S38"/>
  <c r="C86"/>
  <c r="P40" l="1"/>
  <c r="L40" s="1"/>
  <c r="K40"/>
  <c r="N40" s="1"/>
  <c r="O41"/>
  <c r="F41"/>
  <c r="J41"/>
  <c r="P41"/>
  <c r="L41" s="1"/>
  <c r="C42"/>
  <c r="D42" s="1"/>
  <c r="A43"/>
  <c r="B42"/>
  <c r="F42"/>
  <c r="G42" s="1"/>
  <c r="E42"/>
  <c r="H40"/>
  <c r="Q40"/>
  <c r="G40"/>
  <c r="M39"/>
  <c r="E41"/>
  <c r="R38"/>
  <c r="S39"/>
  <c r="D86"/>
  <c r="H41" l="1"/>
  <c r="Q41"/>
  <c r="Q42"/>
  <c r="H42"/>
  <c r="J42"/>
  <c r="O42"/>
  <c r="P42"/>
  <c r="L42" s="1"/>
  <c r="K41"/>
  <c r="M41"/>
  <c r="M40"/>
  <c r="B43"/>
  <c r="C43"/>
  <c r="D43" s="1"/>
  <c r="A44"/>
  <c r="F43"/>
  <c r="N41"/>
  <c r="G41"/>
  <c r="R39"/>
  <c r="S40"/>
  <c r="E86"/>
  <c r="E43" l="1"/>
  <c r="J43"/>
  <c r="O43"/>
  <c r="P43"/>
  <c r="L43" s="1"/>
  <c r="C44"/>
  <c r="D44" s="1"/>
  <c r="B44"/>
  <c r="A45"/>
  <c r="E44"/>
  <c r="N42"/>
  <c r="K42"/>
  <c r="M42"/>
  <c r="R40"/>
  <c r="S41"/>
  <c r="F86"/>
  <c r="A46" l="1"/>
  <c r="C45"/>
  <c r="D45" s="1"/>
  <c r="B45"/>
  <c r="E45"/>
  <c r="F45"/>
  <c r="G45" s="1"/>
  <c r="F44"/>
  <c r="G44" s="1"/>
  <c r="O44"/>
  <c r="J44"/>
  <c r="P44"/>
  <c r="L44" s="1"/>
  <c r="H43"/>
  <c r="Q43"/>
  <c r="H44"/>
  <c r="Q44"/>
  <c r="N43"/>
  <c r="M43"/>
  <c r="K43"/>
  <c r="G43"/>
  <c r="R41"/>
  <c r="S42"/>
  <c r="G86"/>
  <c r="K44" l="1"/>
  <c r="N44"/>
  <c r="M44"/>
  <c r="Q45"/>
  <c r="H45"/>
  <c r="J45"/>
  <c r="O45"/>
  <c r="P45"/>
  <c r="L45" s="1"/>
  <c r="C46"/>
  <c r="D46" s="1"/>
  <c r="B46"/>
  <c r="A47"/>
  <c r="E46"/>
  <c r="F46"/>
  <c r="R42"/>
  <c r="S43"/>
  <c r="H86"/>
  <c r="H46" l="1"/>
  <c r="Q46"/>
  <c r="K45"/>
  <c r="N45"/>
  <c r="M45"/>
  <c r="G46"/>
  <c r="B47"/>
  <c r="A48"/>
  <c r="C47"/>
  <c r="D47" s="1"/>
  <c r="E47" s="1"/>
  <c r="O46"/>
  <c r="J46"/>
  <c r="P46"/>
  <c r="L46" s="1"/>
  <c r="R43"/>
  <c r="S44"/>
  <c r="I86"/>
  <c r="K46" l="1"/>
  <c r="M46"/>
  <c r="N46"/>
  <c r="B48"/>
  <c r="C48"/>
  <c r="D48" s="1"/>
  <c r="A49"/>
  <c r="E48"/>
  <c r="F48"/>
  <c r="G48" s="1"/>
  <c r="F47"/>
  <c r="G47" s="1"/>
  <c r="O47"/>
  <c r="J47"/>
  <c r="R44"/>
  <c r="S45"/>
  <c r="J86"/>
  <c r="K47" l="1"/>
  <c r="N47"/>
  <c r="A50"/>
  <c r="B49"/>
  <c r="C49"/>
  <c r="D49" s="1"/>
  <c r="E49" s="1"/>
  <c r="F49"/>
  <c r="M47"/>
  <c r="H47"/>
  <c r="P47"/>
  <c r="L47" s="1"/>
  <c r="H48"/>
  <c r="Q48"/>
  <c r="J48"/>
  <c r="O48"/>
  <c r="P48"/>
  <c r="L48" s="1"/>
  <c r="Q47"/>
  <c r="R45"/>
  <c r="S46"/>
  <c r="K86"/>
  <c r="H49" l="1"/>
  <c r="Q49"/>
  <c r="K48"/>
  <c r="N48"/>
  <c r="M48"/>
  <c r="G49"/>
  <c r="J49"/>
  <c r="O49"/>
  <c r="P49"/>
  <c r="L49" s="1"/>
  <c r="C50"/>
  <c r="D50" s="1"/>
  <c r="B50"/>
  <c r="A51"/>
  <c r="E50"/>
  <c r="F50"/>
  <c r="R46"/>
  <c r="S47"/>
  <c r="L86"/>
  <c r="H50" l="1"/>
  <c r="Q50"/>
  <c r="G50"/>
  <c r="A52"/>
  <c r="B51"/>
  <c r="C51"/>
  <c r="D51" s="1"/>
  <c r="E51" s="1"/>
  <c r="O50"/>
  <c r="J50"/>
  <c r="P50" s="1"/>
  <c r="L50" s="1"/>
  <c r="K49"/>
  <c r="N49"/>
  <c r="N50" s="1"/>
  <c r="M49"/>
  <c r="R47"/>
  <c r="S48"/>
  <c r="M86"/>
  <c r="B52" l="1"/>
  <c r="A53"/>
  <c r="C52"/>
  <c r="D52" s="1"/>
  <c r="E52" s="1"/>
  <c r="F52"/>
  <c r="K50"/>
  <c r="M50"/>
  <c r="J51"/>
  <c r="O51"/>
  <c r="P51"/>
  <c r="L51" s="1"/>
  <c r="F51"/>
  <c r="G51" s="1"/>
  <c r="R48"/>
  <c r="S49"/>
  <c r="N86"/>
  <c r="H52" l="1"/>
  <c r="Q52"/>
  <c r="K51"/>
  <c r="M51"/>
  <c r="N51"/>
  <c r="B53"/>
  <c r="A54"/>
  <c r="C53"/>
  <c r="D53" s="1"/>
  <c r="F53" s="1"/>
  <c r="H51"/>
  <c r="G52"/>
  <c r="J52"/>
  <c r="P52" s="1"/>
  <c r="L52" s="1"/>
  <c r="O52"/>
  <c r="Q51"/>
  <c r="R49"/>
  <c r="S50"/>
  <c r="C90"/>
  <c r="E53" l="1"/>
  <c r="K52"/>
  <c r="N52"/>
  <c r="M52"/>
  <c r="O53"/>
  <c r="J53"/>
  <c r="P53" s="1"/>
  <c r="L53" s="1"/>
  <c r="C54"/>
  <c r="D54" s="1"/>
  <c r="E54" s="1"/>
  <c r="B54"/>
  <c r="A55"/>
  <c r="F54"/>
  <c r="R50"/>
  <c r="D90"/>
  <c r="S51"/>
  <c r="Q54" l="1"/>
  <c r="H54"/>
  <c r="G54"/>
  <c r="Q53"/>
  <c r="H53"/>
  <c r="C55"/>
  <c r="D55" s="1"/>
  <c r="B55"/>
  <c r="A56"/>
  <c r="E55"/>
  <c r="J54"/>
  <c r="O54"/>
  <c r="P54"/>
  <c r="L54" s="1"/>
  <c r="K53"/>
  <c r="M53"/>
  <c r="N53"/>
  <c r="N54" s="1"/>
  <c r="G53"/>
  <c r="R51"/>
  <c r="S52"/>
  <c r="E90"/>
  <c r="K54" l="1"/>
  <c r="M54"/>
  <c r="C56"/>
  <c r="D56" s="1"/>
  <c r="E56" s="1"/>
  <c r="A57"/>
  <c r="B56"/>
  <c r="F56"/>
  <c r="F55"/>
  <c r="G55" s="1"/>
  <c r="O55"/>
  <c r="J55"/>
  <c r="P55"/>
  <c r="L55" s="1"/>
  <c r="H55"/>
  <c r="Q55"/>
  <c r="R52"/>
  <c r="F90"/>
  <c r="S53"/>
  <c r="H56" l="1"/>
  <c r="Q56"/>
  <c r="K55"/>
  <c r="M55"/>
  <c r="N55"/>
  <c r="B57"/>
  <c r="A58"/>
  <c r="C57"/>
  <c r="D57" s="1"/>
  <c r="E57"/>
  <c r="F57"/>
  <c r="G56"/>
  <c r="O56"/>
  <c r="J56"/>
  <c r="R53"/>
  <c r="S54"/>
  <c r="G90"/>
  <c r="K56" l="1"/>
  <c r="M56"/>
  <c r="P56"/>
  <c r="L56" s="1"/>
  <c r="G57"/>
  <c r="J57"/>
  <c r="O57"/>
  <c r="P57"/>
  <c r="L57" s="1"/>
  <c r="H57"/>
  <c r="Q57"/>
  <c r="B58"/>
  <c r="C58"/>
  <c r="D58" s="1"/>
  <c r="F58" s="1"/>
  <c r="G58" s="1"/>
  <c r="E58"/>
  <c r="N56"/>
  <c r="R54"/>
  <c r="H90"/>
  <c r="S55"/>
  <c r="H58" l="1"/>
  <c r="Q58"/>
  <c r="M57"/>
  <c r="J58"/>
  <c r="O58"/>
  <c r="P58"/>
  <c r="L58" s="1"/>
  <c r="K57"/>
  <c r="N57"/>
  <c r="N58" s="1"/>
  <c r="R55"/>
  <c r="S56"/>
  <c r="I90"/>
  <c r="K58" l="1"/>
  <c r="M58"/>
  <c r="R56"/>
  <c r="J90"/>
  <c r="S57"/>
  <c r="R57" l="1"/>
  <c r="S58"/>
  <c r="K90"/>
  <c r="R58" l="1"/>
  <c r="L90"/>
  <c r="S59"/>
  <c r="R59" l="1"/>
  <c r="S60"/>
  <c r="M90"/>
  <c r="S61" l="1"/>
  <c r="R61" s="1"/>
  <c r="N90"/>
  <c r="R60"/>
</calcChain>
</file>

<file path=xl/comments1.xml><?xml version="1.0" encoding="utf-8"?>
<comments xmlns="http://schemas.openxmlformats.org/spreadsheetml/2006/main">
  <authors>
    <author>Son</author>
  </authors>
  <commentList>
    <comment ref="C8" authorId="0">
      <text>
        <r>
          <rPr>
            <sz val="11"/>
            <color indexed="81"/>
            <rFont val="Arial"/>
            <family val="2"/>
          </rPr>
          <t xml:space="preserve">Der Zonenmeridian ist fast immer durch 15 teilbar und weniger als 15 Längengrade vom lokalen Meridian entfernt!
</t>
        </r>
      </text>
    </comment>
    <comment ref="C9"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text>
        <r>
          <rPr>
            <sz val="11"/>
            <color indexed="81"/>
            <rFont val="Arial"/>
            <family val="2"/>
          </rPr>
          <t xml:space="preserve">Fußpunkt des Zeigers auf der N-S-Achse.
</t>
        </r>
        <r>
          <rPr>
            <sz val="11"/>
            <color indexed="36"/>
            <rFont val="Arial"/>
            <family val="2"/>
          </rPr>
          <t>Basic point on N-S-axis for gnomon .</t>
        </r>
      </text>
    </comment>
    <comment ref="D18" author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rPr>
          <t>r.</t>
        </r>
        <r>
          <rPr>
            <sz val="8"/>
            <color indexed="81"/>
            <rFont val="Tahoma"/>
          </rPr>
          <t xml:space="preserve">
</t>
        </r>
      </text>
    </comment>
  </commentList>
</comments>
</file>

<file path=xl/comments3.xml><?xml version="1.0" encoding="utf-8"?>
<comments xmlns="http://schemas.openxmlformats.org/spreadsheetml/2006/main">
  <authors>
    <author>Son</author>
  </authors>
  <commentList>
    <comment ref="A1" author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sharedStrings.xml><?xml version="1.0" encoding="utf-8"?>
<sst xmlns="http://schemas.openxmlformats.org/spreadsheetml/2006/main" count="87" uniqueCount="67">
  <si>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</si>
  <si>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</si>
  <si>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</si>
  <si>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</si>
  <si>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</si>
  <si>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</si>
  <si>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</si>
  <si>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</si>
  <si>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</si>
  <si>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</si>
  <si>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</si>
  <si>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</si>
  <si>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</si>
  <si>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</si>
  <si>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</si>
  <si>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</si>
  <si>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</si>
  <si>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</si>
  <si>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</si>
  <si>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</si>
  <si>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</si>
  <si>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</si>
  <si>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</si>
  <si>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</si>
  <si>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</si>
  <si>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</si>
  <si>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</si>
  <si>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</si>
  <si>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</si>
  <si>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</si>
  <si>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</si>
  <si>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</si>
  <si>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</si>
  <si>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</si>
  <si>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</si>
  <si>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</si>
  <si>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</si>
  <si>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</si>
  <si>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</si>
  <si>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</si>
  <si>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</si>
  <si>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</si>
  <si>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</si>
  <si>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</si>
  <si>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</si>
  <si>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</si>
  <si>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</si>
  <si>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</si>
  <si>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</si>
  <si>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</si>
  <si>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</si>
  <si>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</si>
  <si>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</si>
  <si>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</si>
  <si>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</si>
  <si>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</si>
  <si>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</si>
  <si>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</si>
  <si>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</si>
  <si>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</si>
  <si>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</si>
  <si>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</si>
  <si>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</si>
  <si>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analemn</t>
  </si>
  <si>
    <t>Time of Zone Meridian</t>
  </si>
  <si>
    <t>Co-ordinates of Hour Points</t>
  </si>
  <si>
    <t>Ellipse</t>
  </si>
</sst>
</file>

<file path=xl/styles.xml><?xml version="1.0" encoding="utf-8"?>
<styleSheet xmlns="http://schemas.openxmlformats.org/spreadsheetml/2006/main">
  <numFmts count="13">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s>
  <fonts count="65">
    <font>
      <sz val="12"/>
      <name val="Courier"/>
    </font>
    <font>
      <sz val="10"/>
      <name val="Arial"/>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83">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24" xfId="0" applyBorder="1" applyAlignment="1">
      <alignment horizontal="center"/>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0.31767337807606283"/>
          <c:y val="4.0584415584415577E-2"/>
        </c:manualLayout>
      </c:layout>
      <c:spPr>
        <a:noFill/>
        <a:ln w="25400">
          <a:noFill/>
        </a:ln>
      </c:spPr>
      <c:txPr>
        <a:bodyPr/>
        <a:lstStyle/>
        <a:p>
          <a:pPr>
            <a:defRPr sz="1600" b="1" i="0" u="none" strike="noStrike" baseline="0">
              <a:solidFill>
                <a:srgbClr val="000000"/>
              </a:solidFill>
              <a:latin typeface="Arial"/>
              <a:ea typeface="Arial"/>
              <a:cs typeface="Arial"/>
            </a:defRPr>
          </a:pPr>
          <a:endParaRPr lang="fr-FR"/>
        </a:p>
      </c:txPr>
    </c:title>
    <c:plotArea>
      <c:layout>
        <c:manualLayout>
          <c:layoutTarget val="inner"/>
          <c:xMode val="edge"/>
          <c:yMode val="edge"/>
          <c:x val="6.7114093959731646E-3"/>
          <c:y val="9.5779220779220797E-2"/>
          <c:w val="0.97874720357941913"/>
          <c:h val="0.87824675324675361"/>
        </c:manualLayout>
      </c:layout>
      <c:scatterChart>
        <c:scatterStyle val="smoothMarker"/>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-1.8817615379084509</c:v>
                </c:pt>
                <c:pt idx="1">
                  <c:v>-1.9929857184990087</c:v>
                </c:pt>
                <c:pt idx="2">
                  <c:v>-1.9683912159384838</c:v>
                </c:pt>
                <c:pt idx="3">
                  <c:v>-1.8096541049320392</c:v>
                </c:pt>
                <c:pt idx="4">
                  <c:v>-1.5275920572692843</c:v>
                </c:pt>
                <c:pt idx="5">
                  <c:v>-1.1414271353688632</c:v>
                </c:pt>
                <c:pt idx="6">
                  <c:v>-0.67747584049058263</c:v>
                </c:pt>
                <c:pt idx="7">
                  <c:v>-0.16735568666463088</c:v>
                </c:pt>
                <c:pt idx="8">
                  <c:v>0.3541694806391667</c:v>
                </c:pt>
                <c:pt idx="9">
                  <c:v>0.85155858313014543</c:v>
                </c:pt>
                <c:pt idx="10">
                  <c:v>1.2909153754479012</c:v>
                </c:pt>
                <c:pt idx="11">
                  <c:v>1.6422984182674081</c:v>
                </c:pt>
                <c:pt idx="12">
                  <c:v>1.8817615379084511</c:v>
                </c:pt>
                <c:pt idx="13">
                  <c:v>1.9929857184990087</c:v>
                </c:pt>
                <c:pt idx="14">
                  <c:v>1.968391215938484</c:v>
                </c:pt>
                <c:pt idx="15">
                  <c:v>1.8096541049320389</c:v>
                </c:pt>
                <c:pt idx="16">
                  <c:v>1.8096541049320389</c:v>
                </c:pt>
                <c:pt idx="17">
                  <c:v>1.8096541049320389</c:v>
                </c:pt>
                <c:pt idx="18">
                  <c:v>1.8096541049320389</c:v>
                </c:pt>
                <c:pt idx="19">
                  <c:v>1.8096541049320389</c:v>
                </c:pt>
                <c:pt idx="20">
                  <c:v>1.8096541049320389</c:v>
                </c:pt>
                <c:pt idx="21">
                  <c:v>1.8096541049320389</c:v>
                </c:pt>
                <c:pt idx="22">
                  <c:v>1.8096541049320389</c:v>
                </c:pt>
                <c:pt idx="23">
                  <c:v>1.8096541049320389</c:v>
                </c:pt>
                <c:pt idx="24">
                  <c:v>1.8096541049320389</c:v>
                </c:pt>
                <c:pt idx="25">
                  <c:v>1.8096541049320389</c:v>
                </c:pt>
                <c:pt idx="26">
                  <c:v>1.8096541049320389</c:v>
                </c:pt>
                <c:pt idx="27">
                  <c:v>1.8096541049320389</c:v>
                </c:pt>
                <c:pt idx="28">
                  <c:v>1.8096541049320389</c:v>
                </c:pt>
                <c:pt idx="29">
                  <c:v>1.8096541049320389</c:v>
                </c:pt>
                <c:pt idx="30">
                  <c:v>1.8096541049320389</c:v>
                </c:pt>
              </c:numCache>
            </c:numRef>
          </c:xVal>
          <c:yVal>
            <c:numRef>
              <c:f>DATA!$F$28:$F$58</c:f>
              <c:numCache>
                <c:formatCode>0.000_)</c:formatCode>
                <c:ptCount val="31"/>
                <c:pt idx="0">
                  <c:v>-0.32844680495430745</c:v>
                </c:pt>
                <c:pt idx="1">
                  <c:v>-8.1135646897944572E-2</c:v>
                </c:pt>
                <c:pt idx="2">
                  <c:v>0.17170477141151688</c:v>
                </c:pt>
                <c:pt idx="3">
                  <c:v>0.41284379330483467</c:v>
                </c:pt>
                <c:pt idx="4">
                  <c:v>0.62584819294105465</c:v>
                </c:pt>
                <c:pt idx="5">
                  <c:v>0.7962020724913822</c:v>
                </c:pt>
                <c:pt idx="6">
                  <c:v>0.91229609658755939</c:v>
                </c:pt>
                <c:pt idx="7">
                  <c:v>0.96621864934187773</c:v>
                </c:pt>
                <c:pt idx="8">
                  <c:v>0.9542949978953621</c:v>
                </c:pt>
                <c:pt idx="9">
                  <c:v>0.87733771938932692</c:v>
                </c:pt>
                <c:pt idx="10">
                  <c:v>0.74059132517604254</c:v>
                </c:pt>
                <c:pt idx="11">
                  <c:v>0.55337485603704306</c:v>
                </c:pt>
                <c:pt idx="12">
                  <c:v>0.32844680495430739</c:v>
                </c:pt>
                <c:pt idx="13">
                  <c:v>8.1135646897944683E-2</c:v>
                </c:pt>
                <c:pt idx="14">
                  <c:v>-0.17170477141151677</c:v>
                </c:pt>
                <c:pt idx="15">
                  <c:v>-0.41284379330483473</c:v>
                </c:pt>
                <c:pt idx="16">
                  <c:v>-0.41284379330483473</c:v>
                </c:pt>
                <c:pt idx="17">
                  <c:v>-0.41284379330483473</c:v>
                </c:pt>
                <c:pt idx="18">
                  <c:v>-0.41284379330483473</c:v>
                </c:pt>
                <c:pt idx="19">
                  <c:v>-0.41284379330483473</c:v>
                </c:pt>
                <c:pt idx="20">
                  <c:v>-0.41284379330483473</c:v>
                </c:pt>
                <c:pt idx="21">
                  <c:v>-0.41284379330483473</c:v>
                </c:pt>
                <c:pt idx="22">
                  <c:v>-0.41284379330483473</c:v>
                </c:pt>
                <c:pt idx="23">
                  <c:v>-0.41284379330483473</c:v>
                </c:pt>
                <c:pt idx="24">
                  <c:v>-0.41284379330483473</c:v>
                </c:pt>
                <c:pt idx="25">
                  <c:v>-0.41284379330483473</c:v>
                </c:pt>
                <c:pt idx="26">
                  <c:v>-0.41284379330483473</c:v>
                </c:pt>
                <c:pt idx="27">
                  <c:v>-0.41284379330483473</c:v>
                </c:pt>
                <c:pt idx="28">
                  <c:v>-0.41284379330483473</c:v>
                </c:pt>
                <c:pt idx="29">
                  <c:v>-0.41284379330483473</c:v>
                </c:pt>
                <c:pt idx="30">
                  <c:v>-0.41284379330483473</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spPr>
              <a:ln w="25400">
                <a:solidFill>
                  <a:srgbClr val="993366"/>
                </a:solidFill>
                <a:prstDash val="solid"/>
              </a:ln>
            </c:spPr>
          </c:dPt>
          <c:dPt>
            <c:idx val="10"/>
            <c:marker>
              <c:spPr>
                <a:solidFill>
                  <a:srgbClr val="FFFF00"/>
                </a:solidFill>
                <a:ln>
                  <a:solidFill>
                    <a:srgbClr val="800000"/>
                  </a:solidFill>
                  <a:prstDash val="solid"/>
                </a:ln>
              </c:spPr>
            </c:marker>
            <c:spPr>
              <a:ln w="25400">
                <a:solidFill>
                  <a:srgbClr val="800000"/>
                </a:solidFill>
                <a:prstDash val="solid"/>
              </a:ln>
            </c:spPr>
          </c:dPt>
          <c:dPt>
            <c:idx val="11"/>
            <c:marker>
              <c:spPr>
                <a:solidFill>
                  <a:srgbClr val="FFFF00"/>
                </a:solidFill>
                <a:ln>
                  <a:solidFill>
                    <a:srgbClr val="993300"/>
                  </a:solidFill>
                  <a:prstDash val="solid"/>
                </a:ln>
              </c:spPr>
            </c:marker>
            <c:spPr>
              <a:ln w="25400">
                <a:solidFill>
                  <a:srgbClr val="993300"/>
                </a:solidFill>
                <a:prstDash val="solid"/>
              </a:ln>
            </c:spPr>
          </c:dPt>
          <c:dPt>
            <c:idx val="12"/>
            <c:marker>
              <c:spPr>
                <a:solidFill>
                  <a:srgbClr val="FFFF00"/>
                </a:solidFill>
                <a:ln>
                  <a:solidFill>
                    <a:srgbClr val="993300"/>
                  </a:solidFill>
                  <a:prstDash val="solid"/>
                </a:ln>
              </c:spPr>
            </c:marker>
            <c:spPr>
              <a:ln w="25400">
                <a:solidFill>
                  <a:srgbClr val="993300"/>
                </a:solidFill>
                <a:prstDash val="solid"/>
              </a:ln>
            </c:spPr>
          </c:dPt>
          <c:dPt>
            <c:idx val="13"/>
            <c:marker>
              <c:spPr>
                <a:solidFill>
                  <a:srgbClr val="FFFF00"/>
                </a:solidFill>
                <a:ln>
                  <a:solidFill>
                    <a:srgbClr val="993300"/>
                  </a:solidFill>
                  <a:prstDash val="solid"/>
                </a:ln>
              </c:spPr>
            </c:marker>
            <c:spPr>
              <a:ln w="25400">
                <a:solidFill>
                  <a:srgbClr val="993300"/>
                </a:solidFill>
                <a:prstDash val="solid"/>
              </a:ln>
            </c:spPr>
          </c:dPt>
          <c:dPt>
            <c:idx val="14"/>
            <c:marker>
              <c:spPr>
                <a:solidFill>
                  <a:srgbClr val="FFFF00"/>
                </a:solidFill>
                <a:ln>
                  <a:solidFill>
                    <a:srgbClr val="993300"/>
                  </a:solidFill>
                  <a:prstDash val="solid"/>
                </a:ln>
              </c:spPr>
            </c:marker>
            <c:spPr>
              <a:ln w="25400">
                <a:solidFill>
                  <a:srgbClr val="993300"/>
                </a:solidFill>
                <a:prstDash val="solid"/>
              </a:ln>
            </c:spPr>
          </c:dPt>
          <c:dPt>
            <c:idx val="15"/>
            <c:marker>
              <c:spPr>
                <a:solidFill>
                  <a:srgbClr val="FFFF00"/>
                </a:solidFill>
                <a:ln>
                  <a:solidFill>
                    <a:srgbClr val="993300"/>
                  </a:solidFill>
                  <a:prstDash val="solid"/>
                </a:ln>
              </c:spPr>
            </c:marker>
            <c:spPr>
              <a:ln w="25400">
                <a:solidFill>
                  <a:srgbClr val="993300"/>
                </a:solidFill>
                <a:prstDash val="solid"/>
              </a:ln>
            </c:spPr>
          </c:dPt>
          <c:dLbls>
            <c:delete val="1"/>
          </c:dLbls>
          <c:errBars>
            <c:errDir val="x"/>
            <c:errBarType val="minus"/>
            <c:errValType val="percentage"/>
            <c:val val="100"/>
            <c:spPr>
              <a:ln w="12700">
                <a:solidFill>
                  <a:srgbClr val="800080"/>
                </a:solidFill>
                <a:prstDash val="solid"/>
              </a:ln>
            </c:spPr>
          </c:errBars>
          <c:xVal>
            <c:numRef>
              <c:f>DATA!$F$63:$F$79</c:f>
              <c:numCache>
                <c:formatCode>0.000_)</c:formatCode>
                <c:ptCount val="17"/>
                <c:pt idx="0">
                  <c:v>3.0863751906327962E-2</c:v>
                </c:pt>
                <c:pt idx="1">
                  <c:v>0.11971131020038227</c:v>
                </c:pt>
                <c:pt idx="2">
                  <c:v>0.10799173005763243</c:v>
                </c:pt>
                <c:pt idx="3">
                  <c:v>6.3137472645378639E-2</c:v>
                </c:pt>
                <c:pt idx="4">
                  <c:v>3.4270213419667184E-2</c:v>
                </c:pt>
                <c:pt idx="5">
                  <c:v>-2.5317259552383196E-2</c:v>
                </c:pt>
                <c:pt idx="6">
                  <c:v>-1.9260451791052971E-2</c:v>
                </c:pt>
                <c:pt idx="7">
                  <c:v>1.5089362101401018E-2</c:v>
                </c:pt>
                <c:pt idx="8">
                  <c:v>3.3244298463397763E-2</c:v>
                </c:pt>
                <c:pt idx="9">
                  <c:v>5.5257694241718565E-2</c:v>
                </c:pt>
                <c:pt idx="10">
                  <c:v>2.7030736410430694E-4</c:v>
                </c:pt>
                <c:pt idx="11">
                  <c:v>-6.3177541191315051E-2</c:v>
                </c:pt>
                <c:pt idx="12">
                  <c:v>-8.9821292144996248E-2</c:v>
                </c:pt>
                <c:pt idx="13">
                  <c:v>-0.14316497060970421</c:v>
                </c:pt>
                <c:pt idx="14">
                  <c:v>-9.6025857875305404E-2</c:v>
                </c:pt>
                <c:pt idx="15">
                  <c:v>-1.7194251276516373E-2</c:v>
                </c:pt>
                <c:pt idx="16">
                  <c:v>3.0863751906327962E-2</c:v>
                </c:pt>
              </c:numCache>
            </c:numRef>
          </c:xVal>
          <c:yVal>
            <c:numRef>
              <c:f>DATA!$G$63:$G$79</c:f>
              <c:numCache>
                <c:formatCode>0.000_)</c:formatCode>
                <c:ptCount val="17"/>
                <c:pt idx="0">
                  <c:v>-0.74220666306230432</c:v>
                </c:pt>
                <c:pt idx="1">
                  <c:v>-0.52741782311870999</c:v>
                </c:pt>
                <c:pt idx="2">
                  <c:v>-0.23162814729025077</c:v>
                </c:pt>
                <c:pt idx="3">
                  <c:v>8.5110285824464924E-3</c:v>
                </c:pt>
                <c:pt idx="4">
                  <c:v>0.1402469086178906</c:v>
                </c:pt>
                <c:pt idx="5">
                  <c:v>0.47233262516722013</c:v>
                </c:pt>
                <c:pt idx="6">
                  <c:v>0.70917560594947104</c:v>
                </c:pt>
                <c:pt idx="7">
                  <c:v>0.7583764458508333</c:v>
                </c:pt>
                <c:pt idx="8">
                  <c:v>0.74609854692425648</c:v>
                </c:pt>
                <c:pt idx="9">
                  <c:v>0.56793003515448237</c:v>
                </c:pt>
                <c:pt idx="10">
                  <c:v>0.25328602427309965</c:v>
                </c:pt>
                <c:pt idx="11">
                  <c:v>8.3476317986600594E-3</c:v>
                </c:pt>
                <c:pt idx="12">
                  <c:v>-9.8670210898872568E-2</c:v>
                </c:pt>
                <c:pt idx="13">
                  <c:v>-0.45115436287218297</c:v>
                </c:pt>
                <c:pt idx="14">
                  <c:v>-0.70025342394403944</c:v>
                </c:pt>
                <c:pt idx="15">
                  <c:v>-0.75833210143282381</c:v>
                </c:pt>
                <c:pt idx="16" formatCode="0.00">
                  <c:v>-0.74220666306230432</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-6.6370102541064862</c:v>
                </c:pt>
                <c:pt idx="1">
                  <c:v>-6.6370102541064862</c:v>
                </c:pt>
                <c:pt idx="2">
                  <c:v>-6.6370102541064862</c:v>
                </c:pt>
                <c:pt idx="3">
                  <c:v>-3.5201035677057613</c:v>
                </c:pt>
                <c:pt idx="4">
                  <c:v>-2.1630350716157092</c:v>
                </c:pt>
                <c:pt idx="5">
                  <c:v>-1.3274114499788017</c:v>
                </c:pt>
                <c:pt idx="6">
                  <c:v>-0.70233203331486083</c:v>
                </c:pt>
                <c:pt idx="7">
                  <c:v>-0.16516746756524087</c:v>
                </c:pt>
                <c:pt idx="8">
                  <c:v>0.35328870751276603</c:v>
                </c:pt>
                <c:pt idx="9">
                  <c:v>0.91263605158967775</c:v>
                </c:pt>
                <c:pt idx="10">
                  <c:v>1.5942595113483002</c:v>
                </c:pt>
                <c:pt idx="11">
                  <c:v>2.5626736008349078</c:v>
                </c:pt>
                <c:pt idx="12">
                  <c:v>4.2966216341316672</c:v>
                </c:pt>
                <c:pt idx="13">
                  <c:v>9.2747704149343679</c:v>
                </c:pt>
                <c:pt idx="14">
                  <c:v>9.2747704149343679</c:v>
                </c:pt>
                <c:pt idx="15">
                  <c:v>9.2747704149343679</c:v>
                </c:pt>
                <c:pt idx="16">
                  <c:v>9.2747704149343679</c:v>
                </c:pt>
                <c:pt idx="17">
                  <c:v>9.2747704149343679</c:v>
                </c:pt>
                <c:pt idx="18">
                  <c:v>9.2747704149343679</c:v>
                </c:pt>
                <c:pt idx="19">
                  <c:v>9.2747704149343679</c:v>
                </c:pt>
                <c:pt idx="20">
                  <c:v>9.2747704149343679</c:v>
                </c:pt>
                <c:pt idx="21">
                  <c:v>9.2747704149343679</c:v>
                </c:pt>
                <c:pt idx="22">
                  <c:v>9.2747704149343679</c:v>
                </c:pt>
                <c:pt idx="23">
                  <c:v>9.2747704149343679</c:v>
                </c:pt>
                <c:pt idx="24">
                  <c:v>9.2747704149343679</c:v>
                </c:pt>
                <c:pt idx="25">
                  <c:v>9.2747704149343679</c:v>
                </c:pt>
                <c:pt idx="26">
                  <c:v>9.2747704149343679</c:v>
                </c:pt>
                <c:pt idx="27">
                  <c:v>9.2747704149343679</c:v>
                </c:pt>
                <c:pt idx="28">
                  <c:v>9.2747704149343679</c:v>
                </c:pt>
                <c:pt idx="29">
                  <c:v>9.2747704149343679</c:v>
                </c:pt>
                <c:pt idx="30">
                  <c:v>9.2747704149343679</c:v>
                </c:pt>
              </c:numCache>
            </c:numRef>
          </c:xVal>
          <c:yVal>
            <c:numRef>
              <c:f>DATA!$N$28:$N$58</c:f>
              <c:numCache>
                <c:formatCode>0.000_)</c:formatCode>
                <c:ptCount val="31"/>
                <c:pt idx="0">
                  <c:v>-0.63363473411040983</c:v>
                </c:pt>
                <c:pt idx="1">
                  <c:v>-0.63363473411040983</c:v>
                </c:pt>
                <c:pt idx="2">
                  <c:v>-0.63363473411040983</c:v>
                </c:pt>
                <c:pt idx="3">
                  <c:v>0.31982896546276718</c:v>
                </c:pt>
                <c:pt idx="4">
                  <c:v>0.67351697861884952</c:v>
                </c:pt>
                <c:pt idx="5">
                  <c:v>0.84263165283397234</c:v>
                </c:pt>
                <c:pt idx="6">
                  <c:v>0.927010118715623</c:v>
                </c:pt>
                <c:pt idx="7">
                  <c:v>0.96026986050667329</c:v>
                </c:pt>
                <c:pt idx="8">
                  <c:v>0.9531932114584063</c:v>
                </c:pt>
                <c:pt idx="9">
                  <c:v>0.90359487150479456</c:v>
                </c:pt>
                <c:pt idx="10">
                  <c:v>0.79448201001828656</c:v>
                </c:pt>
                <c:pt idx="11">
                  <c:v>0.57698051689959895</c:v>
                </c:pt>
                <c:pt idx="12">
                  <c:v>9.3851532678754568E-2</c:v>
                </c:pt>
                <c:pt idx="13">
                  <c:v>-1.4903883581103345</c:v>
                </c:pt>
                <c:pt idx="14">
                  <c:v>-1.4903883581103345</c:v>
                </c:pt>
                <c:pt idx="15">
                  <c:v>-1.4903883581103345</c:v>
                </c:pt>
                <c:pt idx="16">
                  <c:v>-1.4903883581103345</c:v>
                </c:pt>
                <c:pt idx="17">
                  <c:v>-1.4903883581103345</c:v>
                </c:pt>
                <c:pt idx="18">
                  <c:v>-1.4903883581103345</c:v>
                </c:pt>
                <c:pt idx="19">
                  <c:v>-1.4903883581103345</c:v>
                </c:pt>
                <c:pt idx="20">
                  <c:v>-1.4903883581103345</c:v>
                </c:pt>
                <c:pt idx="21">
                  <c:v>-1.4903883581103345</c:v>
                </c:pt>
                <c:pt idx="22">
                  <c:v>-1.4903883581103345</c:v>
                </c:pt>
                <c:pt idx="23">
                  <c:v>-1.4903883581103345</c:v>
                </c:pt>
                <c:pt idx="24">
                  <c:v>-1.4903883581103345</c:v>
                </c:pt>
                <c:pt idx="25">
                  <c:v>-1.4903883581103345</c:v>
                </c:pt>
                <c:pt idx="26">
                  <c:v>-1.4903883581103345</c:v>
                </c:pt>
                <c:pt idx="27">
                  <c:v>-1.4903883581103345</c:v>
                </c:pt>
                <c:pt idx="28">
                  <c:v>-1.4903883581103345</c:v>
                </c:pt>
                <c:pt idx="29">
                  <c:v>-1.4903883581103345</c:v>
                </c:pt>
                <c:pt idx="30">
                  <c:v>-1.4903883581103345</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1.4850790318553813</c:v>
                </c:pt>
                <c:pt idx="2">
                  <c:v>0</c:v>
                </c:pt>
                <c:pt idx="3">
                  <c:v>-1.4850790318553813</c:v>
                </c:pt>
                <c:pt idx="4">
                  <c:v>0</c:v>
                </c:pt>
              </c:numCache>
            </c:numRef>
          </c:xVal>
          <c:yVal>
            <c:numRef>
              <c:f>DATA!$H$105:$H$109</c:f>
              <c:numCache>
                <c:formatCode>0.000_)</c:formatCode>
                <c:ptCount val="5"/>
                <c:pt idx="0">
                  <c:v>-0.75841381213164138</c:v>
                </c:pt>
                <c:pt idx="1">
                  <c:v>0</c:v>
                </c:pt>
                <c:pt idx="2">
                  <c:v>0.75841381213164138</c:v>
                </c:pt>
                <c:pt idx="3">
                  <c:v>0</c:v>
                </c:pt>
                <c:pt idx="4">
                  <c:v>-0.75841381213164138</c:v>
                </c:pt>
              </c:numCache>
            </c:numRef>
          </c:yVal>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CatName val="1"/>
          </c:dLbls>
          <c:errBars>
            <c:errDir val="y"/>
            <c:errBarType val="minus"/>
            <c:errValType val="fixedVal"/>
            <c:val val="0.1"/>
            <c:spPr>
              <a:ln w="12700">
                <a:solidFill>
                  <a:srgbClr val="000000"/>
                </a:solidFill>
                <a:prstDash val="solid"/>
              </a:ln>
            </c:spPr>
          </c:errBars>
          <c:xVal>
            <c:numRef>
              <c:f>DATA!$D$108</c:f>
              <c:numCache>
                <c:formatCode>0.000_)</c:formatCode>
                <c:ptCount val="1"/>
                <c:pt idx="0">
                  <c:v>1.4850790318553813</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val val="0.1"/>
            <c:spPr>
              <a:ln w="12700">
                <a:solidFill>
                  <a:srgbClr val="000000"/>
                </a:solidFill>
                <a:prstDash val="solid"/>
              </a:ln>
            </c:spPr>
          </c:errBars>
          <c:xVal>
            <c:numRef>
              <c:f>DATA!$G$108</c:f>
              <c:numCache>
                <c:formatCode>0.000_)</c:formatCode>
                <c:ptCount val="1"/>
                <c:pt idx="0">
                  <c:v>-1.4850790318553813</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0.51125340357826576</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0.96961924049267423</c:v>
                </c:pt>
                <c:pt idx="4">
                  <c:v>-0.96961924049267423</c:v>
                </c:pt>
              </c:numCache>
            </c:numRef>
          </c:yVal>
          <c:smooth val="1"/>
        </c:ser>
        <c:dLbls>
          <c:showCatName val="1"/>
        </c:dLbls>
        <c:axId val="67603840"/>
        <c:axId val="67622400"/>
      </c:scatterChart>
      <c:valAx>
        <c:axId val="67603840"/>
        <c:scaling>
          <c:orientation val="minMax"/>
          <c:max val="4"/>
          <c:min val="-4"/>
        </c:scaling>
        <c:delete val="1"/>
        <c:axPos val="b"/>
        <c:numFmt formatCode="0.000_)" sourceLinked="1"/>
        <c:tickLblPos val="none"/>
        <c:crossAx val="67622400"/>
        <c:crosses val="autoZero"/>
        <c:crossBetween val="midCat"/>
      </c:valAx>
      <c:valAx>
        <c:axId val="67622400"/>
        <c:scaling>
          <c:orientation val="minMax"/>
          <c:max val="3"/>
          <c:min val="-2"/>
        </c:scaling>
        <c:delete val="1"/>
        <c:axPos val="l"/>
        <c:numFmt formatCode="0.000_)" sourceLinked="1"/>
        <c:tickLblPos val="none"/>
        <c:crossAx val="67603840"/>
        <c:crosses val="autoZero"/>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6.4583333333333423E-2"/>
          <c:y val="5.0505050505050483E-3"/>
        </c:manualLayout>
      </c:layout>
      <c:spPr>
        <a:noFill/>
        <a:ln w="25400">
          <a:noFill/>
        </a:ln>
      </c:spPr>
      <c:txPr>
        <a:bodyPr/>
        <a:lstStyle/>
        <a:p>
          <a:pPr>
            <a:defRPr sz="1175"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5.387205387205387E-2"/>
          <c:w val="0.92604166666666665"/>
          <c:h val="0.94612794612794582"/>
        </c:manualLayout>
      </c:layout>
      <c:scatterChart>
        <c:scatterStyle val="smoothMarker"/>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Val val="1"/>
          </c:dLbls>
          <c:xVal>
            <c:numRef>
              <c:f>DATA!$E$28:$E$58</c:f>
              <c:numCache>
                <c:formatCode>0.000_)</c:formatCode>
                <c:ptCount val="31"/>
                <c:pt idx="0">
                  <c:v>-1.8817615379084509</c:v>
                </c:pt>
                <c:pt idx="1">
                  <c:v>-1.9929857184990087</c:v>
                </c:pt>
                <c:pt idx="2">
                  <c:v>-1.9683912159384838</c:v>
                </c:pt>
                <c:pt idx="3">
                  <c:v>-1.8096541049320392</c:v>
                </c:pt>
                <c:pt idx="4">
                  <c:v>-1.5275920572692843</c:v>
                </c:pt>
                <c:pt idx="5">
                  <c:v>-1.1414271353688632</c:v>
                </c:pt>
                <c:pt idx="6">
                  <c:v>-0.67747584049058263</c:v>
                </c:pt>
                <c:pt idx="7">
                  <c:v>-0.16735568666463088</c:v>
                </c:pt>
                <c:pt idx="8">
                  <c:v>0.3541694806391667</c:v>
                </c:pt>
                <c:pt idx="9">
                  <c:v>0.85155858313014543</c:v>
                </c:pt>
                <c:pt idx="10">
                  <c:v>1.2909153754479012</c:v>
                </c:pt>
                <c:pt idx="11">
                  <c:v>1.6422984182674081</c:v>
                </c:pt>
                <c:pt idx="12">
                  <c:v>1.8817615379084511</c:v>
                </c:pt>
                <c:pt idx="13">
                  <c:v>1.9929857184990087</c:v>
                </c:pt>
                <c:pt idx="14">
                  <c:v>1.968391215938484</c:v>
                </c:pt>
                <c:pt idx="15">
                  <c:v>1.8096541049320389</c:v>
                </c:pt>
                <c:pt idx="16">
                  <c:v>1.8096541049320389</c:v>
                </c:pt>
                <c:pt idx="17">
                  <c:v>1.8096541049320389</c:v>
                </c:pt>
                <c:pt idx="18">
                  <c:v>1.8096541049320389</c:v>
                </c:pt>
                <c:pt idx="19">
                  <c:v>1.8096541049320389</c:v>
                </c:pt>
                <c:pt idx="20">
                  <c:v>1.8096541049320389</c:v>
                </c:pt>
                <c:pt idx="21">
                  <c:v>1.8096541049320389</c:v>
                </c:pt>
                <c:pt idx="22">
                  <c:v>1.8096541049320389</c:v>
                </c:pt>
                <c:pt idx="23">
                  <c:v>1.8096541049320389</c:v>
                </c:pt>
                <c:pt idx="24">
                  <c:v>1.8096541049320389</c:v>
                </c:pt>
                <c:pt idx="25">
                  <c:v>1.8096541049320389</c:v>
                </c:pt>
                <c:pt idx="26">
                  <c:v>1.8096541049320389</c:v>
                </c:pt>
                <c:pt idx="27">
                  <c:v>1.8096541049320389</c:v>
                </c:pt>
                <c:pt idx="28">
                  <c:v>1.8096541049320389</c:v>
                </c:pt>
                <c:pt idx="29">
                  <c:v>1.8096541049320389</c:v>
                </c:pt>
                <c:pt idx="30">
                  <c:v>1.8096541049320389</c:v>
                </c:pt>
              </c:numCache>
            </c:numRef>
          </c:xVal>
          <c:yVal>
            <c:numRef>
              <c:f>DATA!$F$28:$F$58</c:f>
              <c:numCache>
                <c:formatCode>0.000_)</c:formatCode>
                <c:ptCount val="31"/>
                <c:pt idx="0">
                  <c:v>-0.32844680495430745</c:v>
                </c:pt>
                <c:pt idx="1">
                  <c:v>-8.1135646897944572E-2</c:v>
                </c:pt>
                <c:pt idx="2">
                  <c:v>0.17170477141151688</c:v>
                </c:pt>
                <c:pt idx="3">
                  <c:v>0.41284379330483467</c:v>
                </c:pt>
                <c:pt idx="4">
                  <c:v>0.62584819294105465</c:v>
                </c:pt>
                <c:pt idx="5">
                  <c:v>0.7962020724913822</c:v>
                </c:pt>
                <c:pt idx="6">
                  <c:v>0.91229609658755939</c:v>
                </c:pt>
                <c:pt idx="7">
                  <c:v>0.96621864934187773</c:v>
                </c:pt>
                <c:pt idx="8">
                  <c:v>0.9542949978953621</c:v>
                </c:pt>
                <c:pt idx="9">
                  <c:v>0.87733771938932692</c:v>
                </c:pt>
                <c:pt idx="10">
                  <c:v>0.74059132517604254</c:v>
                </c:pt>
                <c:pt idx="11">
                  <c:v>0.55337485603704306</c:v>
                </c:pt>
                <c:pt idx="12">
                  <c:v>0.32844680495430739</c:v>
                </c:pt>
                <c:pt idx="13">
                  <c:v>8.1135646897944683E-2</c:v>
                </c:pt>
                <c:pt idx="14">
                  <c:v>-0.17170477141151677</c:v>
                </c:pt>
                <c:pt idx="15">
                  <c:v>-0.41284379330483473</c:v>
                </c:pt>
                <c:pt idx="16">
                  <c:v>-0.41284379330483473</c:v>
                </c:pt>
                <c:pt idx="17">
                  <c:v>-0.41284379330483473</c:v>
                </c:pt>
                <c:pt idx="18">
                  <c:v>-0.41284379330483473</c:v>
                </c:pt>
                <c:pt idx="19">
                  <c:v>-0.41284379330483473</c:v>
                </c:pt>
                <c:pt idx="20">
                  <c:v>-0.41284379330483473</c:v>
                </c:pt>
                <c:pt idx="21">
                  <c:v>-0.41284379330483473</c:v>
                </c:pt>
                <c:pt idx="22">
                  <c:v>-0.41284379330483473</c:v>
                </c:pt>
                <c:pt idx="23">
                  <c:v>-0.41284379330483473</c:v>
                </c:pt>
                <c:pt idx="24">
                  <c:v>-0.41284379330483473</c:v>
                </c:pt>
                <c:pt idx="25">
                  <c:v>-0.41284379330483473</c:v>
                </c:pt>
                <c:pt idx="26">
                  <c:v>-0.41284379330483473</c:v>
                </c:pt>
                <c:pt idx="27">
                  <c:v>-0.41284379330483473</c:v>
                </c:pt>
                <c:pt idx="28">
                  <c:v>-0.41284379330483473</c:v>
                </c:pt>
                <c:pt idx="29">
                  <c:v>-0.41284379330483473</c:v>
                </c:pt>
                <c:pt idx="30">
                  <c:v>-0.41284379330483473</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dLbl>
            <c:dLbl>
              <c:idx val="7"/>
              <c:layout>
                <c:manualLayout>
                  <c:x val="-1.757436570428797E-4"/>
                  <c:y val="4.2149579787374901E-2"/>
                </c:manualLayout>
              </c:layout>
              <c:dLblPos val="r"/>
              <c:showVal val="1"/>
            </c:dLbl>
            <c:spPr>
              <a:noFill/>
              <a:ln w="25400">
                <a:noFill/>
              </a:ln>
            </c:spPr>
            <c:txPr>
              <a:bodyPr/>
              <a:lstStyle/>
              <a:p>
                <a:pPr>
                  <a:defRPr sz="975" b="0" i="0" u="none" strike="noStrike" baseline="0">
                    <a:solidFill>
                      <a:srgbClr val="800000"/>
                    </a:solidFill>
                    <a:latin typeface="Arial"/>
                    <a:ea typeface="Arial"/>
                    <a:cs typeface="Arial"/>
                  </a:defRPr>
                </a:pPr>
                <a:endParaRPr lang="fr-FR"/>
              </a:p>
            </c:txPr>
            <c:showVal val="1"/>
          </c:dLbls>
          <c:errBars>
            <c:errDir val="x"/>
            <c:errBarType val="minus"/>
            <c:errValType val="percentage"/>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0.74609854692425648</c:v>
                </c:pt>
                <c:pt idx="1">
                  <c:v>0.56793003515448237</c:v>
                </c:pt>
                <c:pt idx="2">
                  <c:v>0.25328602427309965</c:v>
                </c:pt>
                <c:pt idx="3">
                  <c:v>8.3476317986600594E-3</c:v>
                </c:pt>
                <c:pt idx="4">
                  <c:v>-9.8670210898872568E-2</c:v>
                </c:pt>
                <c:pt idx="5">
                  <c:v>-0.45115436287218297</c:v>
                </c:pt>
                <c:pt idx="6">
                  <c:v>-0.70025342394403944</c:v>
                </c:pt>
                <c:pt idx="7">
                  <c:v>-0.75833210143282381</c:v>
                </c:pt>
              </c:numCache>
            </c:numRef>
          </c:yVal>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-6.6370102541064862</c:v>
                </c:pt>
                <c:pt idx="1">
                  <c:v>-6.6370102541064862</c:v>
                </c:pt>
                <c:pt idx="2">
                  <c:v>-6.6370102541064862</c:v>
                </c:pt>
                <c:pt idx="3">
                  <c:v>-3.5201035677057613</c:v>
                </c:pt>
                <c:pt idx="4">
                  <c:v>-2.1630350716157092</c:v>
                </c:pt>
                <c:pt idx="5">
                  <c:v>-1.3274114499788017</c:v>
                </c:pt>
                <c:pt idx="6">
                  <c:v>-0.70233203331486083</c:v>
                </c:pt>
                <c:pt idx="7">
                  <c:v>-0.16516746756524087</c:v>
                </c:pt>
                <c:pt idx="8">
                  <c:v>0.35328870751276603</c:v>
                </c:pt>
                <c:pt idx="9">
                  <c:v>0.91263605158967775</c:v>
                </c:pt>
                <c:pt idx="10">
                  <c:v>1.5942595113483002</c:v>
                </c:pt>
                <c:pt idx="11">
                  <c:v>2.5626736008349078</c:v>
                </c:pt>
                <c:pt idx="12">
                  <c:v>4.2966216341316672</c:v>
                </c:pt>
                <c:pt idx="13">
                  <c:v>9.2747704149343679</c:v>
                </c:pt>
                <c:pt idx="14">
                  <c:v>9.2747704149343679</c:v>
                </c:pt>
                <c:pt idx="15">
                  <c:v>9.2747704149343679</c:v>
                </c:pt>
                <c:pt idx="16">
                  <c:v>9.2747704149343679</c:v>
                </c:pt>
                <c:pt idx="17">
                  <c:v>9.2747704149343679</c:v>
                </c:pt>
                <c:pt idx="18">
                  <c:v>9.2747704149343679</c:v>
                </c:pt>
                <c:pt idx="19">
                  <c:v>9.2747704149343679</c:v>
                </c:pt>
                <c:pt idx="20">
                  <c:v>9.2747704149343679</c:v>
                </c:pt>
                <c:pt idx="21">
                  <c:v>9.2747704149343679</c:v>
                </c:pt>
                <c:pt idx="22">
                  <c:v>9.2747704149343679</c:v>
                </c:pt>
                <c:pt idx="23">
                  <c:v>9.2747704149343679</c:v>
                </c:pt>
                <c:pt idx="24">
                  <c:v>9.2747704149343679</c:v>
                </c:pt>
                <c:pt idx="25">
                  <c:v>9.2747704149343679</c:v>
                </c:pt>
                <c:pt idx="26">
                  <c:v>9.2747704149343679</c:v>
                </c:pt>
                <c:pt idx="27">
                  <c:v>9.2747704149343679</c:v>
                </c:pt>
                <c:pt idx="28">
                  <c:v>9.2747704149343679</c:v>
                </c:pt>
                <c:pt idx="29">
                  <c:v>9.2747704149343679</c:v>
                </c:pt>
                <c:pt idx="30">
                  <c:v>9.2747704149343679</c:v>
                </c:pt>
              </c:numCache>
            </c:numRef>
          </c:xVal>
          <c:yVal>
            <c:numRef>
              <c:f>DATA!$N$28:$N$58</c:f>
              <c:numCache>
                <c:formatCode>0.000_)</c:formatCode>
                <c:ptCount val="31"/>
                <c:pt idx="0">
                  <c:v>-0.63363473411040983</c:v>
                </c:pt>
                <c:pt idx="1">
                  <c:v>-0.63363473411040983</c:v>
                </c:pt>
                <c:pt idx="2">
                  <c:v>-0.63363473411040983</c:v>
                </c:pt>
                <c:pt idx="3">
                  <c:v>0.31982896546276718</c:v>
                </c:pt>
                <c:pt idx="4">
                  <c:v>0.67351697861884952</c:v>
                </c:pt>
                <c:pt idx="5">
                  <c:v>0.84263165283397234</c:v>
                </c:pt>
                <c:pt idx="6">
                  <c:v>0.927010118715623</c:v>
                </c:pt>
                <c:pt idx="7">
                  <c:v>0.96026986050667329</c:v>
                </c:pt>
                <c:pt idx="8">
                  <c:v>0.9531932114584063</c:v>
                </c:pt>
                <c:pt idx="9">
                  <c:v>0.90359487150479456</c:v>
                </c:pt>
                <c:pt idx="10">
                  <c:v>0.79448201001828656</c:v>
                </c:pt>
                <c:pt idx="11">
                  <c:v>0.57698051689959895</c:v>
                </c:pt>
                <c:pt idx="12">
                  <c:v>9.3851532678754568E-2</c:v>
                </c:pt>
                <c:pt idx="13">
                  <c:v>-1.4903883581103345</c:v>
                </c:pt>
                <c:pt idx="14">
                  <c:v>-1.4903883581103345</c:v>
                </c:pt>
                <c:pt idx="15">
                  <c:v>-1.4903883581103345</c:v>
                </c:pt>
                <c:pt idx="16">
                  <c:v>-1.4903883581103345</c:v>
                </c:pt>
                <c:pt idx="17">
                  <c:v>-1.4903883581103345</c:v>
                </c:pt>
                <c:pt idx="18">
                  <c:v>-1.4903883581103345</c:v>
                </c:pt>
                <c:pt idx="19">
                  <c:v>-1.4903883581103345</c:v>
                </c:pt>
                <c:pt idx="20">
                  <c:v>-1.4903883581103345</c:v>
                </c:pt>
                <c:pt idx="21">
                  <c:v>-1.4903883581103345</c:v>
                </c:pt>
                <c:pt idx="22">
                  <c:v>-1.4903883581103345</c:v>
                </c:pt>
                <c:pt idx="23">
                  <c:v>-1.4903883581103345</c:v>
                </c:pt>
                <c:pt idx="24">
                  <c:v>-1.4903883581103345</c:v>
                </c:pt>
                <c:pt idx="25">
                  <c:v>-1.4903883581103345</c:v>
                </c:pt>
                <c:pt idx="26">
                  <c:v>-1.4903883581103345</c:v>
                </c:pt>
                <c:pt idx="27">
                  <c:v>-1.4903883581103345</c:v>
                </c:pt>
                <c:pt idx="28">
                  <c:v>-1.4903883581103345</c:v>
                </c:pt>
                <c:pt idx="29">
                  <c:v>-1.4903883581103345</c:v>
                </c:pt>
                <c:pt idx="30">
                  <c:v>-1.4903883581103345</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DATA!$G$106</c:f>
              <c:numCache>
                <c:formatCode>0.000_)</c:formatCode>
                <c:ptCount val="1"/>
                <c:pt idx="0">
                  <c:v>1.4850790318553813</c:v>
                </c:pt>
              </c:numCache>
            </c:numRef>
          </c:xVal>
          <c:yVal>
            <c:numRef>
              <c:f>DATA!$H$106</c:f>
              <c:numCache>
                <c:formatCode>0.000_)</c:formatCode>
                <c:ptCount val="1"/>
                <c:pt idx="0">
                  <c:v>0</c:v>
                </c:pt>
              </c:numCache>
            </c:numRef>
          </c:yVal>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DATA!$G$108</c:f>
              <c:numCache>
                <c:formatCode>0.000_)</c:formatCode>
                <c:ptCount val="1"/>
                <c:pt idx="0">
                  <c:v>-1.4850790318553813</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dLbl>
            <c:dLbl>
              <c:idx val="7"/>
              <c:layout>
                <c:manualLayout>
                  <c:x val="-5.5032589676290482E-2"/>
                  <c:y val="-5.1321791846726285E-2"/>
                </c:manualLayout>
              </c:layout>
              <c:dLblPos val="r"/>
              <c:showVal val="1"/>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Val val="1"/>
          </c:dLbls>
          <c:errBars>
            <c:errDir val="x"/>
            <c:errBarType val="minus"/>
            <c:errValType val="percentage"/>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-0.74220666306230432</c:v>
                </c:pt>
                <c:pt idx="1">
                  <c:v>-0.52741782311870999</c:v>
                </c:pt>
                <c:pt idx="2">
                  <c:v>-0.23162814729025077</c:v>
                </c:pt>
                <c:pt idx="3">
                  <c:v>8.5110285824464924E-3</c:v>
                </c:pt>
                <c:pt idx="4">
                  <c:v>0.1402469086178906</c:v>
                </c:pt>
                <c:pt idx="5">
                  <c:v>0.47233262516722013</c:v>
                </c:pt>
                <c:pt idx="6">
                  <c:v>0.70917560594947104</c:v>
                </c:pt>
                <c:pt idx="7">
                  <c:v>0.7583764458508333</c:v>
                </c:pt>
              </c:numCache>
            </c:numRef>
          </c:yVal>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0.51125340357826576</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0.96961924049267423</c:v>
                </c:pt>
                <c:pt idx="4">
                  <c:v>-0.96961924049267423</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dLbls/>
        <c:axId val="68883584"/>
        <c:axId val="68885120"/>
      </c:scatterChart>
      <c:valAx>
        <c:axId val="68883584"/>
        <c:scaling>
          <c:orientation val="minMax"/>
          <c:max val="4"/>
          <c:min val="-4"/>
        </c:scaling>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68885120"/>
        <c:crosses val="autoZero"/>
        <c:crossBetween val="midCat"/>
        <c:majorUnit val="0.5"/>
      </c:valAx>
      <c:valAx>
        <c:axId val="68885120"/>
        <c:scaling>
          <c:orientation val="minMax"/>
          <c:max val="3"/>
          <c:min val="-2"/>
        </c:scaling>
        <c:axPos val="l"/>
        <c:numFmt formatCode="0.000_)" sourceLinked="1"/>
        <c:majorTickMark val="cross"/>
        <c:minorTickMark val="out"/>
        <c:tickLblPos val="none"/>
        <c:spPr>
          <a:ln w="3175">
            <a:solidFill>
              <a:srgbClr val="000000"/>
            </a:solidFill>
            <a:prstDash val="solid"/>
          </a:ln>
        </c:spPr>
        <c:crossAx val="68883584"/>
        <c:crosses val="autoZero"/>
        <c:crossBetween val="midCat"/>
      </c:valAx>
      <c:spPr>
        <a:solidFill>
          <a:srgbClr val="C0C0C0"/>
        </a:solidFill>
        <a:ln w="12700">
          <a:solidFill>
            <a:srgbClr val="808080"/>
          </a:solidFill>
          <a:prstDash val="solid"/>
        </a:ln>
      </c:spPr>
    </c:plotArea>
    <c:plotVisOnly val="1"/>
    <c:dispBlanksAs val="gap"/>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693"/>
          <c:y val="2.0202020202020211E-2"/>
        </c:manualLayout>
      </c:layout>
      <c:spPr>
        <a:noFill/>
        <a:ln w="25400">
          <a:noFill/>
        </a:ln>
      </c:spPr>
    </c:title>
    <c:plotArea>
      <c:layout>
        <c:manualLayout>
          <c:layoutTarget val="inner"/>
          <c:xMode val="edge"/>
          <c:yMode val="edge"/>
          <c:x val="0.26770833333333333"/>
          <c:y val="0.18181818181818196"/>
          <c:w val="0.4635416666666668"/>
          <c:h val="0.74915824915824913"/>
        </c:manualLayout>
      </c:layout>
      <c:pieChart>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4.4840232346408992E-2</c:v>
                </c:pt>
                <c:pt idx="2">
                  <c:v>1.5074991480285851</c:v>
                </c:pt>
              </c:numCache>
            </c:numRef>
          </c:val>
        </c:ser>
        <c:ser>
          <c:idx val="3"/>
          <c:order val="3"/>
          <c:spPr>
            <a:solidFill>
              <a:srgbClr val="9999FF"/>
            </a:solidFill>
            <a:ln w="12700">
              <a:solidFill>
                <a:srgbClr val="000000"/>
              </a:solidFill>
              <a:prstDash val="solid"/>
            </a:ln>
          </c:spPr>
          <c:val>
            <c:numRef>
              <c:f>DATA!$N$100</c:f>
              <c:numCache>
                <c:formatCode>0.000_)</c:formatCode>
                <c:ptCount val="1"/>
                <c:pt idx="0">
                  <c:v>4.4840232346408992E-2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4.4840232346408992E-2</c:v>
                </c:pt>
              </c:numCache>
            </c:numRef>
          </c:val>
        </c:ser>
        <c:dLbls/>
        <c:firstSliceAng val="90"/>
      </c:pieChart>
      <c:spPr>
        <a:noFill/>
        <a:ln w="25400">
          <a:noFill/>
        </a:ln>
      </c:spPr>
    </c:plotArea>
    <c:plotVisOnly val="1"/>
    <c:dispBlanksAs val="zero"/>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141"/>
          <c:y val="1.1574100238037663E-2"/>
        </c:manualLayout>
      </c:layout>
      <c:spPr>
        <a:noFill/>
        <a:ln w="25400">
          <a:noFill/>
        </a:ln>
      </c:spPr>
    </c:title>
    <c:plotArea>
      <c:layout>
        <c:manualLayout>
          <c:layoutTarget val="inner"/>
          <c:xMode val="edge"/>
          <c:yMode val="edge"/>
          <c:x val="6.097560975609756E-2"/>
          <c:y val="0.10879654223755401"/>
          <c:w val="0.88871951219512224"/>
          <c:h val="0.85879823766239427"/>
        </c:manualLayout>
      </c:layout>
      <c:lineChart>
        <c:grouping val="standard"/>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Val val="1"/>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er>
        <c:dLbls/>
        <c:marker val="1"/>
        <c:axId val="69257472"/>
        <c:axId val="69361664"/>
      </c:lineChart>
      <c:catAx>
        <c:axId val="69257472"/>
        <c:scaling>
          <c:orientation val="minMax"/>
        </c:scaling>
        <c:axPos val="b"/>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361664"/>
        <c:crosses val="autoZero"/>
        <c:auto val="1"/>
        <c:lblAlgn val="ctr"/>
        <c:lblOffset val="100"/>
        <c:tickLblSkip val="1"/>
        <c:tickMarkSkip val="1"/>
      </c:catAx>
      <c:valAx>
        <c:axId val="6936166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257472"/>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45"/>
          <c:y val="0.8125018367102429"/>
          <c:w val="0.55945121951219545"/>
          <c:h val="7.4074241523440984E-2"/>
        </c:manualLayout>
      </c:layout>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protection/>
  <c:chart>
    <c:title>
      <c:tx>
        <c:strRef>
          <c:f>DATA!$J$15</c:f>
          <c:strCache>
            <c:ptCount val="1"/>
            <c:pt idx="0">
              <c:v>Equation of Time [min] for</c:v>
            </c:pt>
          </c:strCache>
        </c:strRef>
      </c:tx>
      <c:layout>
        <c:manualLayout>
          <c:xMode val="edge"/>
          <c:yMode val="edge"/>
          <c:x val="0.38020833333333331"/>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0.16329966329966331"/>
          <c:w val="0.92187500000000033"/>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spPr>
              <a:ln w="25400">
                <a:solidFill>
                  <a:srgbClr val="0000FF"/>
                </a:solidFill>
                <a:prstDash val="solid"/>
              </a:ln>
            </c:spPr>
          </c:dPt>
          <c:dPt>
            <c:idx val="2"/>
            <c:marker>
              <c:symbol val="diamond"/>
              <c:size val="5"/>
              <c:spPr>
                <a:solidFill>
                  <a:srgbClr val="0000FF"/>
                </a:solidFill>
                <a:ln>
                  <a:solidFill>
                    <a:srgbClr val="000000"/>
                  </a:solidFill>
                  <a:prstDash val="solid"/>
                </a:ln>
              </c:spPr>
            </c:marker>
            <c:spPr>
              <a:ln w="25400">
                <a:solidFill>
                  <a:srgbClr val="0000FF"/>
                </a:solidFill>
                <a:prstDash val="solid"/>
              </a:ln>
            </c:spPr>
          </c:dPt>
          <c:dPt>
            <c:idx val="3"/>
            <c:marker>
              <c:symbol val="diamond"/>
              <c:size val="5"/>
              <c:spPr>
                <a:solidFill>
                  <a:srgbClr val="FFFFCC"/>
                </a:solidFill>
                <a:ln>
                  <a:solidFill>
                    <a:srgbClr val="000000"/>
                  </a:solidFill>
                  <a:prstDash val="solid"/>
                </a:ln>
              </c:spPr>
            </c:marker>
            <c:spPr>
              <a:ln w="25400">
                <a:solidFill>
                  <a:srgbClr val="0000FF"/>
                </a:solidFill>
                <a:prstDash val="solid"/>
              </a:ln>
            </c:spPr>
          </c:dPt>
          <c:dPt>
            <c:idx val="4"/>
            <c:marker>
              <c:symbol val="diamond"/>
              <c:size val="5"/>
              <c:spPr>
                <a:solidFill>
                  <a:srgbClr val="0000FF"/>
                </a:solidFill>
                <a:ln>
                  <a:solidFill>
                    <a:srgbClr val="000000"/>
                  </a:solidFill>
                  <a:prstDash val="solid"/>
                </a:ln>
              </c:spPr>
            </c:marker>
            <c:spPr>
              <a:ln w="25400">
                <a:solidFill>
                  <a:srgbClr val="0000FF"/>
                </a:solidFill>
                <a:prstDash val="solid"/>
              </a:ln>
            </c:spPr>
          </c:dPt>
          <c:dPt>
            <c:idx val="5"/>
            <c:marker>
              <c:symbol val="diamond"/>
              <c:size val="5"/>
              <c:spPr>
                <a:solidFill>
                  <a:srgbClr val="0000FF"/>
                </a:solidFill>
                <a:ln>
                  <a:solidFill>
                    <a:srgbClr val="000000"/>
                  </a:solidFill>
                  <a:prstDash val="solid"/>
                </a:ln>
              </c:spPr>
            </c:marker>
            <c:spPr>
              <a:ln w="25400">
                <a:solidFill>
                  <a:srgbClr val="0000FF"/>
                </a:solidFill>
                <a:prstDash val="solid"/>
              </a:ln>
            </c:spPr>
          </c:dPt>
          <c:dPt>
            <c:idx val="6"/>
            <c:marker>
              <c:symbol val="diamond"/>
              <c:size val="5"/>
              <c:spPr>
                <a:solidFill>
                  <a:srgbClr val="FFFF99"/>
                </a:solidFill>
                <a:ln>
                  <a:solidFill>
                    <a:srgbClr val="000000"/>
                  </a:solidFill>
                  <a:prstDash val="solid"/>
                </a:ln>
              </c:spPr>
            </c:marker>
            <c:spPr>
              <a:ln w="25400">
                <a:solidFill>
                  <a:srgbClr val="0000FF"/>
                </a:solidFill>
                <a:prstDash val="solid"/>
              </a:ln>
            </c:spPr>
          </c:dPt>
          <c:dPt>
            <c:idx val="7"/>
            <c:marker>
              <c:symbol val="diamond"/>
              <c:size val="5"/>
              <c:spPr>
                <a:solidFill>
                  <a:srgbClr val="0000FF"/>
                </a:solidFill>
                <a:ln>
                  <a:solidFill>
                    <a:srgbClr val="000000"/>
                  </a:solidFill>
                  <a:prstDash val="solid"/>
                </a:ln>
              </c:spPr>
            </c:marker>
            <c:spPr>
              <a:ln w="25400">
                <a:solidFill>
                  <a:srgbClr val="0000FF"/>
                </a:solidFill>
                <a:prstDash val="solid"/>
              </a:ln>
            </c:spPr>
          </c:dPt>
          <c:dPt>
            <c:idx val="8"/>
            <c:marker>
              <c:symbol val="diamond"/>
              <c:size val="5"/>
              <c:spPr>
                <a:solidFill>
                  <a:srgbClr val="0000FF"/>
                </a:solidFill>
                <a:ln>
                  <a:solidFill>
                    <a:srgbClr val="000000"/>
                  </a:solidFill>
                  <a:prstDash val="solid"/>
                </a:ln>
              </c:spPr>
            </c:marker>
            <c:spPr>
              <a:ln w="25400">
                <a:solidFill>
                  <a:srgbClr val="0000FF"/>
                </a:solidFill>
                <a:prstDash val="solid"/>
              </a:ln>
            </c:spPr>
          </c:dPt>
          <c:dPt>
            <c:idx val="9"/>
            <c:marker>
              <c:symbol val="diamond"/>
              <c:size val="5"/>
              <c:spPr>
                <a:solidFill>
                  <a:srgbClr val="FFFFCC"/>
                </a:solidFill>
                <a:ln>
                  <a:solidFill>
                    <a:srgbClr val="008000"/>
                  </a:solidFill>
                  <a:prstDash val="solid"/>
                </a:ln>
              </c:spPr>
            </c:marker>
            <c:spPr>
              <a:ln w="25400">
                <a:solidFill>
                  <a:srgbClr val="339966"/>
                </a:solidFill>
                <a:prstDash val="solid"/>
              </a:ln>
            </c:spPr>
          </c:dPt>
          <c:dPt>
            <c:idx val="10"/>
            <c:marker>
              <c:symbol val="diamond"/>
              <c:size val="5"/>
              <c:spPr>
                <a:solidFill>
                  <a:srgbClr val="339966"/>
                </a:solidFill>
                <a:ln>
                  <a:solidFill>
                    <a:srgbClr val="000000"/>
                  </a:solidFill>
                  <a:prstDash val="solid"/>
                </a:ln>
              </c:spPr>
            </c:marker>
            <c:spPr>
              <a:ln w="25400">
                <a:solidFill>
                  <a:srgbClr val="339966"/>
                </a:solidFill>
                <a:prstDash val="solid"/>
              </a:ln>
            </c:spPr>
          </c:dPt>
          <c:dPt>
            <c:idx val="11"/>
            <c:marker>
              <c:symbol val="diamond"/>
              <c:size val="5"/>
              <c:spPr>
                <a:solidFill>
                  <a:srgbClr val="339966"/>
                </a:solidFill>
                <a:ln>
                  <a:solidFill>
                    <a:srgbClr val="000000"/>
                  </a:solidFill>
                  <a:prstDash val="solid"/>
                </a:ln>
              </c:spPr>
            </c:marker>
            <c:spPr>
              <a:ln w="25400">
                <a:solidFill>
                  <a:srgbClr val="339966"/>
                </a:solidFill>
                <a:prstDash val="solid"/>
              </a:ln>
            </c:spPr>
          </c:dPt>
          <c:dPt>
            <c:idx val="12"/>
            <c:marker>
              <c:symbol val="diamond"/>
              <c:size val="5"/>
              <c:spPr>
                <a:solidFill>
                  <a:srgbClr val="FFFFCC"/>
                </a:solidFill>
                <a:ln>
                  <a:solidFill>
                    <a:srgbClr val="000000"/>
                  </a:solidFill>
                  <a:prstDash val="solid"/>
                </a:ln>
              </c:spPr>
            </c:marker>
            <c:spPr>
              <a:ln w="25400">
                <a:solidFill>
                  <a:srgbClr val="339966"/>
                </a:solidFill>
                <a:prstDash val="solid"/>
              </a:ln>
            </c:spPr>
          </c:dPt>
          <c:dPt>
            <c:idx val="13"/>
            <c:marker>
              <c:symbol val="diamond"/>
              <c:size val="5"/>
              <c:spPr>
                <a:solidFill>
                  <a:srgbClr val="339966"/>
                </a:solidFill>
                <a:ln>
                  <a:solidFill>
                    <a:srgbClr val="000000"/>
                  </a:solidFill>
                  <a:prstDash val="solid"/>
                </a:ln>
              </c:spPr>
            </c:marker>
            <c:spPr>
              <a:ln w="25400">
                <a:solidFill>
                  <a:srgbClr val="339966"/>
                </a:solidFill>
                <a:prstDash val="solid"/>
              </a:ln>
            </c:spPr>
          </c:dPt>
          <c:dPt>
            <c:idx val="14"/>
            <c:marker>
              <c:symbol val="diamond"/>
              <c:size val="5"/>
              <c:spPr>
                <a:solidFill>
                  <a:srgbClr val="339966"/>
                </a:solidFill>
                <a:ln>
                  <a:solidFill>
                    <a:srgbClr val="000000"/>
                  </a:solidFill>
                  <a:prstDash val="solid"/>
                </a:ln>
              </c:spPr>
            </c:marker>
            <c:spPr>
              <a:ln w="25400">
                <a:solidFill>
                  <a:srgbClr val="339966"/>
                </a:solidFill>
                <a:prstDash val="solid"/>
              </a:ln>
            </c:spPr>
          </c:dPt>
          <c:dPt>
            <c:idx val="15"/>
            <c:marker>
              <c:symbol val="diamond"/>
              <c:size val="5"/>
              <c:spPr>
                <a:solidFill>
                  <a:srgbClr val="FFFFCC"/>
                </a:solidFill>
                <a:ln>
                  <a:solidFill>
                    <a:srgbClr val="000000"/>
                  </a:solidFill>
                  <a:prstDash val="solid"/>
                </a:ln>
              </c:spPr>
            </c:marker>
            <c:spPr>
              <a:ln w="25400">
                <a:solidFill>
                  <a:srgbClr val="339966"/>
                </a:solidFill>
                <a:prstDash val="solid"/>
              </a:ln>
            </c:spPr>
          </c:dPt>
          <c:dPt>
            <c:idx val="16"/>
            <c:marker>
              <c:symbol val="diamond"/>
              <c:size val="5"/>
              <c:spPr>
                <a:solidFill>
                  <a:srgbClr val="339966"/>
                </a:solidFill>
                <a:ln>
                  <a:solidFill>
                    <a:srgbClr val="000000"/>
                  </a:solidFill>
                  <a:prstDash val="solid"/>
                </a:ln>
              </c:spPr>
            </c:marker>
            <c:spPr>
              <a:ln w="25400">
                <a:solidFill>
                  <a:srgbClr val="339966"/>
                </a:solidFill>
                <a:prstDash val="solid"/>
              </a:ln>
            </c:spPr>
          </c:dPt>
          <c:dPt>
            <c:idx val="17"/>
            <c:marker>
              <c:symbol val="diamond"/>
              <c:size val="5"/>
              <c:spPr>
                <a:solidFill>
                  <a:srgbClr val="339966"/>
                </a:solidFill>
                <a:ln>
                  <a:solidFill>
                    <a:srgbClr val="000000"/>
                  </a:solidFill>
                  <a:prstDash val="solid"/>
                </a:ln>
              </c:spPr>
            </c:marker>
            <c:spPr>
              <a:ln w="25400">
                <a:solidFill>
                  <a:srgbClr val="339966"/>
                </a:solidFill>
                <a:prstDash val="solid"/>
              </a:ln>
            </c:spPr>
          </c:dPt>
          <c:dPt>
            <c:idx val="18"/>
            <c:marker>
              <c:symbol val="diamond"/>
              <c:size val="5"/>
              <c:spPr>
                <a:solidFill>
                  <a:srgbClr val="FFFFCC"/>
                </a:solidFill>
                <a:ln>
                  <a:solidFill>
                    <a:srgbClr val="000000"/>
                  </a:solidFill>
                  <a:prstDash val="solid"/>
                </a:ln>
              </c:spPr>
            </c:marker>
            <c:spPr>
              <a:ln w="25400">
                <a:solidFill>
                  <a:srgbClr val="FF6600"/>
                </a:solidFill>
                <a:prstDash val="solid"/>
              </a:ln>
            </c:spPr>
          </c:dPt>
          <c:dPt>
            <c:idx val="19"/>
            <c:marker>
              <c:symbol val="diamond"/>
              <c:size val="5"/>
              <c:spPr>
                <a:solidFill>
                  <a:srgbClr val="FF6600"/>
                </a:solidFill>
                <a:ln>
                  <a:solidFill>
                    <a:srgbClr val="000000"/>
                  </a:solidFill>
                  <a:prstDash val="solid"/>
                </a:ln>
              </c:spPr>
            </c:marker>
            <c:spPr>
              <a:ln w="25400">
                <a:solidFill>
                  <a:srgbClr val="FF6600"/>
                </a:solidFill>
                <a:prstDash val="solid"/>
              </a:ln>
            </c:spPr>
          </c:dPt>
          <c:dPt>
            <c:idx val="20"/>
            <c:marker>
              <c:symbol val="diamond"/>
              <c:size val="5"/>
              <c:spPr>
                <a:solidFill>
                  <a:srgbClr val="FF6600"/>
                </a:solidFill>
                <a:ln>
                  <a:solidFill>
                    <a:srgbClr val="000000"/>
                  </a:solidFill>
                  <a:prstDash val="solid"/>
                </a:ln>
              </c:spPr>
            </c:marker>
            <c:spPr>
              <a:ln w="25400">
                <a:solidFill>
                  <a:srgbClr val="FF6600"/>
                </a:solidFill>
                <a:prstDash val="solid"/>
              </a:ln>
            </c:spPr>
          </c:dPt>
          <c:dPt>
            <c:idx val="21"/>
            <c:marker>
              <c:symbol val="diamond"/>
              <c:size val="5"/>
              <c:spPr>
                <a:solidFill>
                  <a:srgbClr val="FFFFCC"/>
                </a:solidFill>
                <a:ln>
                  <a:solidFill>
                    <a:srgbClr val="000000"/>
                  </a:solidFill>
                  <a:prstDash val="solid"/>
                </a:ln>
              </c:spPr>
            </c:marker>
            <c:spPr>
              <a:ln w="25400">
                <a:solidFill>
                  <a:srgbClr val="FF6600"/>
                </a:solidFill>
                <a:prstDash val="solid"/>
              </a:ln>
            </c:spPr>
          </c:dPt>
          <c:dPt>
            <c:idx val="22"/>
            <c:marker>
              <c:symbol val="diamond"/>
              <c:size val="5"/>
              <c:spPr>
                <a:solidFill>
                  <a:srgbClr val="FF6600"/>
                </a:solidFill>
                <a:ln>
                  <a:solidFill>
                    <a:srgbClr val="000000"/>
                  </a:solidFill>
                  <a:prstDash val="solid"/>
                </a:ln>
              </c:spPr>
            </c:marker>
            <c:spPr>
              <a:ln w="25400">
                <a:solidFill>
                  <a:srgbClr val="FF6600"/>
                </a:solidFill>
                <a:prstDash val="solid"/>
              </a:ln>
            </c:spPr>
          </c:dPt>
          <c:dPt>
            <c:idx val="23"/>
            <c:marker>
              <c:symbol val="diamond"/>
              <c:size val="5"/>
              <c:spPr>
                <a:solidFill>
                  <a:srgbClr val="FF6600"/>
                </a:solidFill>
                <a:ln>
                  <a:solidFill>
                    <a:srgbClr val="000000"/>
                  </a:solidFill>
                  <a:prstDash val="solid"/>
                </a:ln>
              </c:spPr>
            </c:marker>
            <c:spPr>
              <a:ln w="25400">
                <a:solidFill>
                  <a:srgbClr val="FF6600"/>
                </a:solidFill>
                <a:prstDash val="solid"/>
              </a:ln>
            </c:spPr>
          </c:dPt>
          <c:dPt>
            <c:idx val="24"/>
            <c:marker>
              <c:symbol val="diamond"/>
              <c:size val="5"/>
              <c:spPr>
                <a:solidFill>
                  <a:srgbClr val="FFFFCC"/>
                </a:solidFill>
                <a:ln>
                  <a:solidFill>
                    <a:srgbClr val="000000"/>
                  </a:solidFill>
                  <a:prstDash val="solid"/>
                </a:ln>
              </c:spPr>
            </c:marker>
            <c:spPr>
              <a:ln w="25400">
                <a:solidFill>
                  <a:srgbClr val="FF6600"/>
                </a:solidFill>
                <a:prstDash val="solid"/>
              </a:ln>
            </c:spPr>
          </c:dPt>
          <c:dPt>
            <c:idx val="25"/>
            <c:marker>
              <c:symbol val="diamond"/>
              <c:size val="5"/>
              <c:spPr>
                <a:solidFill>
                  <a:srgbClr val="FF6600"/>
                </a:solidFill>
                <a:ln>
                  <a:solidFill>
                    <a:srgbClr val="000000"/>
                  </a:solidFill>
                  <a:prstDash val="solid"/>
                </a:ln>
              </c:spPr>
            </c:marker>
            <c:spPr>
              <a:ln w="25400">
                <a:solidFill>
                  <a:srgbClr val="FF6600"/>
                </a:solidFill>
                <a:prstDash val="solid"/>
              </a:ln>
            </c:spPr>
          </c:dPt>
          <c:dPt>
            <c:idx val="26"/>
            <c:marker>
              <c:symbol val="diamond"/>
              <c:size val="5"/>
              <c:spPr>
                <a:solidFill>
                  <a:srgbClr val="FF6600"/>
                </a:solidFill>
                <a:ln>
                  <a:solidFill>
                    <a:srgbClr val="000000"/>
                  </a:solidFill>
                  <a:prstDash val="solid"/>
                </a:ln>
              </c:spPr>
            </c:marker>
            <c:spPr>
              <a:ln w="25400">
                <a:solidFill>
                  <a:srgbClr val="FF6600"/>
                </a:solidFill>
                <a:prstDash val="solid"/>
              </a:ln>
            </c:spPr>
          </c:dPt>
          <c:dPt>
            <c:idx val="27"/>
            <c:marker>
              <c:symbol val="diamond"/>
              <c:size val="5"/>
              <c:spPr>
                <a:solidFill>
                  <a:srgbClr val="FFFFCC"/>
                </a:solidFill>
                <a:ln>
                  <a:solidFill>
                    <a:srgbClr val="333300"/>
                  </a:solidFill>
                  <a:prstDash val="solid"/>
                </a:ln>
              </c:spPr>
            </c:marker>
            <c:spPr>
              <a:ln w="25400">
                <a:solidFill>
                  <a:srgbClr val="800000"/>
                </a:solidFill>
                <a:prstDash val="solid"/>
              </a:ln>
            </c:spPr>
          </c:dPt>
          <c:dPt>
            <c:idx val="28"/>
            <c:marker>
              <c:symbol val="diamond"/>
              <c:size val="5"/>
              <c:spPr>
                <a:solidFill>
                  <a:srgbClr val="993300"/>
                </a:solidFill>
                <a:ln>
                  <a:solidFill>
                    <a:srgbClr val="000000"/>
                  </a:solidFill>
                  <a:prstDash val="solid"/>
                </a:ln>
              </c:spPr>
            </c:marker>
            <c:spPr>
              <a:ln w="25400">
                <a:solidFill>
                  <a:srgbClr val="800000"/>
                </a:solidFill>
                <a:prstDash val="solid"/>
              </a:ln>
            </c:spPr>
          </c:dPt>
          <c:dPt>
            <c:idx val="29"/>
            <c:marker>
              <c:symbol val="diamond"/>
              <c:size val="5"/>
              <c:spPr>
                <a:solidFill>
                  <a:srgbClr val="993366"/>
                </a:solidFill>
                <a:ln>
                  <a:solidFill>
                    <a:srgbClr val="000000"/>
                  </a:solidFill>
                  <a:prstDash val="solid"/>
                </a:ln>
              </c:spPr>
            </c:marker>
            <c:spPr>
              <a:ln w="25400">
                <a:solidFill>
                  <a:srgbClr val="800000"/>
                </a:solidFill>
                <a:prstDash val="solid"/>
              </a:ln>
            </c:spPr>
          </c:dPt>
          <c:dPt>
            <c:idx val="30"/>
            <c:marker>
              <c:symbol val="diamond"/>
              <c:size val="5"/>
              <c:spPr>
                <a:solidFill>
                  <a:srgbClr val="FFFFCC"/>
                </a:solidFill>
                <a:ln>
                  <a:solidFill>
                    <a:srgbClr val="000000"/>
                  </a:solidFill>
                  <a:prstDash val="solid"/>
                </a:ln>
              </c:spPr>
            </c:marker>
            <c:spPr>
              <a:ln w="25400">
                <a:solidFill>
                  <a:srgbClr val="800000"/>
                </a:solidFill>
                <a:prstDash val="solid"/>
              </a:ln>
            </c:spPr>
          </c:dPt>
          <c:dPt>
            <c:idx val="31"/>
            <c:marker>
              <c:symbol val="diamond"/>
              <c:size val="5"/>
              <c:spPr>
                <a:solidFill>
                  <a:srgbClr val="993366"/>
                </a:solidFill>
                <a:ln>
                  <a:solidFill>
                    <a:srgbClr val="000000"/>
                  </a:solidFill>
                  <a:prstDash val="solid"/>
                </a:ln>
              </c:spPr>
            </c:marker>
            <c:spPr>
              <a:ln w="25400">
                <a:solidFill>
                  <a:srgbClr val="800000"/>
                </a:solidFill>
                <a:prstDash val="solid"/>
              </a:ln>
            </c:spPr>
          </c:dPt>
          <c:dPt>
            <c:idx val="32"/>
            <c:marker>
              <c:symbol val="diamond"/>
              <c:size val="5"/>
              <c:spPr>
                <a:solidFill>
                  <a:srgbClr val="993366"/>
                </a:solidFill>
                <a:ln>
                  <a:solidFill>
                    <a:srgbClr val="000000"/>
                  </a:solidFill>
                  <a:prstDash val="solid"/>
                </a:ln>
              </c:spPr>
            </c:marker>
            <c:spPr>
              <a:ln w="25400">
                <a:solidFill>
                  <a:srgbClr val="800000"/>
                </a:solidFill>
                <a:prstDash val="solid"/>
              </a:ln>
            </c:spPr>
          </c:dPt>
          <c:dPt>
            <c:idx val="33"/>
            <c:marker>
              <c:symbol val="diamond"/>
              <c:size val="5"/>
              <c:spPr>
                <a:solidFill>
                  <a:srgbClr val="FFFFCC"/>
                </a:solidFill>
                <a:ln>
                  <a:solidFill>
                    <a:srgbClr val="000000"/>
                  </a:solidFill>
                  <a:prstDash val="solid"/>
                </a:ln>
              </c:spPr>
            </c:marker>
            <c:spPr>
              <a:ln w="25400">
                <a:solidFill>
                  <a:srgbClr val="800000"/>
                </a:solidFill>
                <a:prstDash val="solid"/>
              </a:ln>
            </c:spPr>
          </c:dPt>
          <c:dPt>
            <c:idx val="34"/>
            <c:marker>
              <c:symbol val="diamond"/>
              <c:size val="5"/>
              <c:spPr>
                <a:solidFill>
                  <a:srgbClr val="993366"/>
                </a:solidFill>
                <a:ln>
                  <a:solidFill>
                    <a:srgbClr val="000000"/>
                  </a:solidFill>
                  <a:prstDash val="solid"/>
                </a:ln>
              </c:spPr>
            </c:marker>
            <c:spPr>
              <a:ln w="25400">
                <a:solidFill>
                  <a:srgbClr val="800000"/>
                </a:solidFill>
                <a:prstDash val="solid"/>
              </a:ln>
            </c:spPr>
          </c:dPt>
          <c:dPt>
            <c:idx val="35"/>
            <c:marker>
              <c:symbol val="diamond"/>
              <c:size val="5"/>
              <c:spPr>
                <a:solidFill>
                  <a:srgbClr val="993366"/>
                </a:solidFill>
                <a:ln>
                  <a:solidFill>
                    <a:srgbClr val="000000"/>
                  </a:solidFill>
                  <a:prstDash val="solid"/>
                </a:ln>
              </c:spPr>
            </c:marker>
            <c:spPr>
              <a:ln w="25400">
                <a:solidFill>
                  <a:srgbClr val="800000"/>
                </a:solidFill>
                <a:prstDash val="solid"/>
              </a:ln>
            </c:spPr>
          </c:dPt>
          <c:dPt>
            <c:idx val="36"/>
            <c:marker>
              <c:symbol val="diamond"/>
              <c:size val="5"/>
              <c:spPr>
                <a:solidFill>
                  <a:srgbClr val="FFFFCC"/>
                </a:solidFill>
                <a:ln>
                  <a:solidFill>
                    <a:srgbClr val="000000"/>
                  </a:solidFill>
                  <a:prstDash val="solid"/>
                </a:ln>
              </c:spPr>
            </c:marker>
            <c:spPr>
              <a:ln w="25400">
                <a:solidFill>
                  <a:srgbClr val="0000FF"/>
                </a:solidFill>
                <a:prstDash val="solid"/>
              </a:ln>
            </c:spPr>
          </c:dPt>
          <c:dLbls>
            <c:dLbl>
              <c:idx val="0"/>
              <c:layout>
                <c:manualLayout>
                  <c:x val="2.1202974628171576E-3"/>
                  <c:y val="-1.3972975600272263E-2"/>
                </c:manualLayout>
              </c:layout>
              <c:dLblPos val="r"/>
              <c:showVal val="1"/>
            </c:dLbl>
            <c:dLbl>
              <c:idx val="1"/>
              <c:layout>
                <c:manualLayout>
                  <c:x val="-5.18191163604549E-2"/>
                  <c:y val="4.4094488188975971E-3"/>
                </c:manualLayout>
              </c:layout>
              <c:dLblPos val="r"/>
              <c:showVal val="1"/>
            </c:dLbl>
            <c:dLbl>
              <c:idx val="2"/>
              <c:layout>
                <c:manualLayout>
                  <c:x val="-6.0764326334208286E-2"/>
                  <c:y val="7.9376441581161211E-4"/>
                </c:manualLayout>
              </c:layout>
              <c:dLblPos val="r"/>
              <c:showVal val="1"/>
            </c:dLbl>
            <c:dLbl>
              <c:idx val="3"/>
              <c:layout>
                <c:manualLayout>
                  <c:x val="-4.7755686789151368E-2"/>
                  <c:y val="1.0503813285965473E-2"/>
                </c:manualLayout>
              </c:layout>
              <c:dLblPos val="r"/>
              <c:showVal val="1"/>
            </c:dLbl>
            <c:dLbl>
              <c:idx val="4"/>
              <c:layout>
                <c:manualLayout>
                  <c:x val="-2.3430664916885553E-3"/>
                  <c:y val="6.7329462605052633E-3"/>
                </c:manualLayout>
              </c:layout>
              <c:dLblPos val="r"/>
              <c:showVal val="1"/>
            </c:dLbl>
            <c:dLbl>
              <c:idx val="5"/>
              <c:layout>
                <c:manualLayout>
                  <c:x val="-3.6605424321959948E-3"/>
                  <c:y val="6.5828892600546278E-3"/>
                </c:manualLayout>
              </c:layout>
              <c:dLblPos val="r"/>
              <c:showVal val="1"/>
            </c:dLbl>
            <c:dLbl>
              <c:idx val="7"/>
              <c:layout>
                <c:manualLayout>
                  <c:x val="-4.8231627296588114E-3"/>
                  <c:y val="4.5718780101982187E-3"/>
                </c:manualLayout>
              </c:layout>
              <c:dLblPos val="r"/>
              <c:showVal val="1"/>
            </c:dLbl>
            <c:dLbl>
              <c:idx val="10"/>
              <c:layout>
                <c:manualLayout>
                  <c:x val="-1.310203412073494E-2"/>
                  <c:y val="1.0978728669017347E-2"/>
                </c:manualLayout>
              </c:layout>
              <c:dLblPos val="r"/>
              <c:showVal val="1"/>
            </c:dLbl>
            <c:dLbl>
              <c:idx val="11"/>
              <c:layout>
                <c:manualLayout>
                  <c:x val="-2.422462817147824E-3"/>
                  <c:y val="4.0980231006477793E-3"/>
                </c:manualLayout>
              </c:layout>
              <c:dLblPos val="r"/>
              <c:showVal val="1"/>
            </c:dLbl>
            <c:dLbl>
              <c:idx val="12"/>
              <c:layout>
                <c:manualLayout>
                  <c:x val="-1.3868110236220084E-3"/>
                  <c:y val="6.1311275484503824E-3"/>
                </c:manualLayout>
              </c:layout>
              <c:dLblPos val="r"/>
              <c:showVal val="1"/>
            </c:dLbl>
            <c:dLbl>
              <c:idx val="13"/>
              <c:layout>
                <c:manualLayout>
                  <c:x val="-1.2503718285214294E-2"/>
                  <c:y val="-2.5500676051857157E-2"/>
                </c:manualLayout>
              </c:layout>
              <c:dLblPos val="r"/>
              <c:showVal val="1"/>
            </c:dLbl>
            <c:dLbl>
              <c:idx val="14"/>
              <c:layout>
                <c:manualLayout>
                  <c:x val="-8.8363954505688708E-4"/>
                  <c:y val="-1.3026149509089167E-2"/>
                </c:manualLayout>
              </c:layout>
              <c:dLblPos val="r"/>
              <c:showVal val="1"/>
            </c:dLbl>
            <c:dLbl>
              <c:idx val="16"/>
              <c:layout>
                <c:manualLayout>
                  <c:x val="-4.4997812773403074E-3"/>
                  <c:y val="-1.4188074975476543E-2"/>
                </c:manualLayout>
              </c:layout>
              <c:dLblPos val="r"/>
              <c:showVal val="1"/>
            </c:dLbl>
            <c:dLbl>
              <c:idx val="17"/>
              <c:layout>
                <c:manualLayout>
                  <c:x val="-5.0707786526684173E-2"/>
                  <c:y val="-1.9214012389865932E-3"/>
                </c:manualLayout>
              </c:layout>
              <c:dLblPos val="r"/>
              <c:showVal val="1"/>
            </c:dLbl>
            <c:dLbl>
              <c:idx val="18"/>
              <c:layout>
                <c:manualLayout>
                  <c:x val="-4.6753718285214352E-2"/>
                  <c:y val="-2.1193562925846832E-3"/>
                </c:manualLayout>
              </c:layout>
              <c:dLblPos val="r"/>
              <c:showVal val="1"/>
            </c:dLbl>
            <c:dLbl>
              <c:idx val="20"/>
              <c:layout>
                <c:manualLayout>
                  <c:x val="-9.7361111111111155E-3"/>
                  <c:y val="1.101938015323844E-2"/>
                </c:manualLayout>
              </c:layout>
              <c:dLblPos val="r"/>
              <c:showVal val="1"/>
            </c:dLbl>
            <c:dLbl>
              <c:idx val="21"/>
              <c:layout>
                <c:manualLayout>
                  <c:x val="-3.8511482939632573E-2"/>
                  <c:y val="1.3732071369866615E-2"/>
                </c:manualLayout>
              </c:layout>
              <c:dLblPos val="r"/>
              <c:showVal val="1"/>
            </c:dLbl>
            <c:dLbl>
              <c:idx val="22"/>
              <c:layout>
                <c:manualLayout>
                  <c:x val="-4.4159120734908186E-2"/>
                  <c:y val="1.5097607748526335E-2"/>
                </c:manualLayout>
              </c:layout>
              <c:dLblPos val="r"/>
              <c:showVal val="1"/>
            </c:dLbl>
            <c:dLbl>
              <c:idx val="24"/>
              <c:layout>
                <c:manualLayout>
                  <c:x val="-6.0340113735783104E-3"/>
                  <c:y val="-1.5808655231227466E-2"/>
                </c:manualLayout>
              </c:layout>
              <c:dLblPos val="r"/>
              <c:showVal val="1"/>
            </c:dLbl>
            <c:dLbl>
              <c:idx val="29"/>
              <c:layout>
                <c:manualLayout>
                  <c:x val="-1.0423228346456296E-3"/>
                  <c:y val="-1.0924644520445038E-2"/>
                </c:manualLayout>
              </c:layout>
              <c:dLblPos val="r"/>
              <c:showVal val="1"/>
            </c:dLbl>
            <c:dLbl>
              <c:idx val="30"/>
              <c:layout>
                <c:manualLayout>
                  <c:x val="1.0761154855643396E-4"/>
                  <c:y val="-1.1415467006018188E-2"/>
                </c:manualLayout>
              </c:layout>
              <c:dLblPos val="r"/>
              <c:showVal val="1"/>
            </c:dLbl>
            <c:dLbl>
              <c:idx val="31"/>
              <c:layout>
                <c:manualLayout>
                  <c:x val="-4.1565944881889777E-2"/>
                  <c:y val="-1.6948840990835736E-2"/>
                </c:manualLayout>
              </c:layout>
              <c:dLblPos val="r"/>
              <c:showVal val="1"/>
            </c:dLbl>
            <c:dLbl>
              <c:idx val="33"/>
              <c:layout>
                <c:manualLayout>
                  <c:x val="8.3781714785651667E-4"/>
                  <c:y val="-1.097713795876528E-2"/>
                </c:manualLayout>
              </c:layout>
              <c:dLblPos val="r"/>
              <c:showVal val="1"/>
            </c:dLbl>
            <c:dLbl>
              <c:idx val="36"/>
              <c:layout>
                <c:manualLayout>
                  <c:x val="-4.3005905511811021E-2"/>
                  <c:y val="8.8860609595517361E-3"/>
                </c:manualLayout>
              </c:layout>
              <c:dLblPos val="r"/>
              <c:showVal val="1"/>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Val val="1"/>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dLbls/>
        <c:axId val="64430848"/>
        <c:axId val="64432384"/>
      </c:scatterChart>
      <c:valAx>
        <c:axId val="64430848"/>
        <c:scaling>
          <c:orientation val="minMax"/>
          <c:max val="25"/>
          <c:min val="-25"/>
        </c:scaling>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64432384"/>
        <c:crosses val="autoZero"/>
        <c:crossBetween val="midCat"/>
        <c:majorUnit val="5"/>
        <c:minorUnit val="1"/>
      </c:valAx>
      <c:valAx>
        <c:axId val="64432384"/>
        <c:scaling>
          <c:orientation val="minMax"/>
          <c:max val="18"/>
          <c:min val="-15"/>
        </c:scaling>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4430848"/>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093"/>
          <c:y val="1.9480519480519497E-2"/>
        </c:manualLayout>
      </c:layout>
      <c:spPr>
        <a:noFill/>
        <a:ln w="25400">
          <a:noFill/>
        </a:ln>
      </c:spPr>
    </c:title>
    <c:plotArea>
      <c:layout>
        <c:manualLayout>
          <c:layoutTarget val="inner"/>
          <c:xMode val="edge"/>
          <c:yMode val="edge"/>
          <c:x val="7.1588366890380312E-2"/>
          <c:y val="6.8181818181818177E-2"/>
          <c:w val="0.86577181208053788"/>
          <c:h val="0.868506493506494"/>
        </c:manualLayout>
      </c:layout>
      <c:scatterChart>
        <c:scatterStyle val="smoothMarker"/>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-22.991633987675449</c:v>
                </c:pt>
                <c:pt idx="1">
                  <c:v>-16.7787237985372</c:v>
                </c:pt>
                <c:pt idx="2">
                  <c:v>-7.5430236304308433</c:v>
                </c:pt>
                <c:pt idx="3">
                  <c:v>0.27877382880803792</c:v>
                </c:pt>
                <c:pt idx="4">
                  <c:v>4.5839374477366368</c:v>
                </c:pt>
                <c:pt idx="5">
                  <c:v>15.110734712682955</c:v>
                </c:pt>
                <c:pt idx="6">
                  <c:v>22.068588550280939</c:v>
                </c:pt>
                <c:pt idx="7">
                  <c:v>23.438969739280981</c:v>
                </c:pt>
                <c:pt idx="8">
                  <c:v>23.099576227833481</c:v>
                </c:pt>
                <c:pt idx="9">
                  <c:v>17.987191248733009</c:v>
                </c:pt>
                <c:pt idx="10">
                  <c:v>8.2390404334191629</c:v>
                </c:pt>
                <c:pt idx="11">
                  <c:v>0.27342194351338306</c:v>
                </c:pt>
                <c:pt idx="12">
                  <c:v>-3.2284900689164786</c:v>
                </c:pt>
                <c:pt idx="13">
                  <c:v>-14.462239926466959</c:v>
                </c:pt>
                <c:pt idx="14">
                  <c:v>-21.817154235870575</c:v>
                </c:pt>
                <c:pt idx="15">
                  <c:v>-23.437747056963104</c:v>
                </c:pt>
                <c:pt idx="16">
                  <c:v>-22.991633987675449</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-3.536725508672915</c:v>
                </c:pt>
                <c:pt idx="1">
                  <c:v>-13.717905902928857</c:v>
                </c:pt>
                <c:pt idx="2">
                  <c:v>-12.374940920330559</c:v>
                </c:pt>
                <c:pt idx="3">
                  <c:v>-7.2350215468219243</c:v>
                </c:pt>
                <c:pt idx="4">
                  <c:v>-3.9270772509077672</c:v>
                </c:pt>
                <c:pt idx="5">
                  <c:v>2.9011442918658359</c:v>
                </c:pt>
                <c:pt idx="6">
                  <c:v>2.2070852359338602</c:v>
                </c:pt>
                <c:pt idx="7">
                  <c:v>-1.729113557405364</c:v>
                </c:pt>
                <c:pt idx="8">
                  <c:v>-3.8095160546352176</c:v>
                </c:pt>
                <c:pt idx="9">
                  <c:v>-6.332065439363042</c:v>
                </c:pt>
                <c:pt idx="10">
                  <c:v>-3.0974942797341226E-2</c:v>
                </c:pt>
                <c:pt idx="11">
                  <c:v>7.2396130640470115</c:v>
                </c:pt>
                <c:pt idx="12">
                  <c:v>10.292762076215309</c:v>
                </c:pt>
                <c:pt idx="13">
                  <c:v>16.405497459948663</c:v>
                </c:pt>
                <c:pt idx="14">
                  <c:v>11.003752948459946</c:v>
                </c:pt>
                <c:pt idx="15">
                  <c:v>1.9703160936736017</c:v>
                </c:pt>
                <c:pt idx="16">
                  <c:v>-3.536725508672915</c:v>
                </c:pt>
              </c:numCache>
            </c:numRef>
          </c:yVal>
          <c:smooth val="1"/>
        </c:ser>
        <c:dLbls/>
        <c:axId val="64486784"/>
        <c:axId val="64607744"/>
      </c:scatterChart>
      <c:valAx>
        <c:axId val="64486784"/>
        <c:scaling>
          <c:orientation val="minMax"/>
          <c:max val="370"/>
          <c:min val="1"/>
        </c:scaling>
        <c:axPos val="b"/>
        <c:title>
          <c:tx>
            <c:strRef>
              <c:f>DATA!$C$62</c:f>
              <c:strCache>
                <c:ptCount val="1"/>
                <c:pt idx="0">
                  <c:v>Day (Date)</c:v>
                </c:pt>
              </c:strCache>
            </c:strRef>
          </c:tx>
          <c:layout>
            <c:manualLayout>
              <c:xMode val="edge"/>
              <c:yMode val="edge"/>
              <c:x val="0.46196868008948577"/>
              <c:y val="0.95454545454545503"/>
            </c:manualLayout>
          </c:layout>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64607744"/>
        <c:crosses val="autoZero"/>
        <c:crossBetween val="midCat"/>
        <c:majorUnit val="28"/>
        <c:minorUnit val="7"/>
      </c:valAx>
      <c:valAx>
        <c:axId val="646077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64486784"/>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874"/>
          <c:w val="0.16666666666666666"/>
          <c:h val="6.6558441558441594E-2"/>
        </c:manualLayout>
      </c:layout>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82"/>
          <c:y val="0"/>
        </c:manualLayout>
      </c:layout>
      <c:spPr>
        <a:noFill/>
        <a:ln w="25400">
          <a:noFill/>
        </a:ln>
      </c:spPr>
    </c:title>
    <c:plotArea>
      <c:layout>
        <c:manualLayout>
          <c:layoutTarget val="inner"/>
          <c:xMode val="edge"/>
          <c:yMode val="edge"/>
          <c:x val="9.3750000000000069E-2"/>
          <c:y val="6.2289562289562263E-2"/>
          <c:w val="0.8666666666666667"/>
          <c:h val="0.89057239057239057"/>
        </c:manualLayout>
      </c:layout>
      <c:scatterChart>
        <c:scatterStyle val="smoothMarker"/>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Val val="1"/>
            </c:dLbl>
            <c:dLbl>
              <c:idx val="1"/>
              <c:layout>
                <c:manualLayout>
                  <c:x val="-1.2310914260717424E-2"/>
                  <c:y val="1.5692533382822015E-2"/>
                </c:manualLayout>
              </c:layout>
              <c:dLblPos val="r"/>
              <c:showVal val="1"/>
            </c:dLbl>
            <c:dLbl>
              <c:idx val="2"/>
              <c:layout>
                <c:manualLayout>
                  <c:x val="-1.2183836395450585E-2"/>
                  <c:y val="3.9659411260461082E-2"/>
                </c:manualLayout>
              </c:layout>
              <c:dLblPos val="r"/>
              <c:showVal val="1"/>
            </c:dLbl>
            <c:dLbl>
              <c:idx val="3"/>
              <c:layout>
                <c:manualLayout>
                  <c:x val="-2.5824256342957121E-2"/>
                  <c:y val="-4.7663511757999974E-2"/>
                </c:manualLayout>
              </c:layout>
              <c:dLblPos val="r"/>
              <c:showVal val="1"/>
            </c:dLbl>
            <c:dLbl>
              <c:idx val="4"/>
              <c:layout>
                <c:manualLayout>
                  <c:x val="-2.2493219597550306E-2"/>
                  <c:y val="-4.7925978949600954E-2"/>
                </c:manualLayout>
              </c:layout>
              <c:dLblPos val="r"/>
              <c:showVal val="1"/>
            </c:dLbl>
            <c:dLbl>
              <c:idx val="5"/>
              <c:layout>
                <c:manualLayout>
                  <c:x val="-3.3578958880140009E-2"/>
                  <c:y val="-2.1264791396025003E-2"/>
                </c:manualLayout>
              </c:layout>
              <c:dLblPos val="r"/>
              <c:showVal val="1"/>
            </c:dLbl>
            <c:dLbl>
              <c:idx val="6"/>
              <c:layout>
                <c:manualLayout>
                  <c:x val="-2.8263342082239781E-2"/>
                  <c:y val="3.3899802928674234E-3"/>
                </c:manualLayout>
              </c:layout>
              <c:dLblPos val="r"/>
              <c:showVal val="1"/>
            </c:dLbl>
            <c:dLbl>
              <c:idx val="7"/>
              <c:layout>
                <c:manualLayout>
                  <c:x val="-2.211209536307962E-2"/>
                  <c:y val="5.0964589022331813E-3"/>
                </c:manualLayout>
              </c:layout>
              <c:dLblPos val="r"/>
              <c:showVal val="1"/>
            </c:dLbl>
            <c:dLbl>
              <c:idx val="8"/>
              <c:layout>
                <c:manualLayout>
                  <c:x val="-4.9740813648293134E-3"/>
                  <c:y val="2.9961911326740549E-3"/>
                </c:manualLayout>
              </c:layout>
              <c:dLblPos val="r"/>
              <c:showVal val="1"/>
            </c:dLbl>
            <c:dLbl>
              <c:idx val="9"/>
              <c:layout>
                <c:manualLayout>
                  <c:x val="-1.3200131233595737E-2"/>
                  <c:y val="-1.0683210053288806E-2"/>
                </c:manualLayout>
              </c:layout>
              <c:dLblPos val="r"/>
              <c:showVal val="1"/>
            </c:dLbl>
            <c:dLbl>
              <c:idx val="10"/>
              <c:layout>
                <c:manualLayout>
                  <c:x val="-1.2051181102362125E-2"/>
                  <c:y val="-4.4729181579575276E-2"/>
                </c:manualLayout>
              </c:layout>
              <c:dLblPos val="r"/>
              <c:showVal val="1"/>
            </c:dLbl>
            <c:dLbl>
              <c:idx val="11"/>
              <c:layout>
                <c:manualLayout>
                  <c:x val="-1.5540354330708632E-2"/>
                  <c:y val="-4.7736330938430764E-2"/>
                </c:manualLayout>
              </c:layout>
              <c:dLblPos val="r"/>
              <c:showVal val="1"/>
            </c:dLbl>
            <c:dLbl>
              <c:idx val="12"/>
              <c:layout>
                <c:manualLayout>
                  <c:x val="-1.6886811023622033E-2"/>
                  <c:y val="4.667515045467787E-2"/>
                </c:manualLayout>
              </c:layout>
              <c:dLblPos val="r"/>
              <c:showVal val="1"/>
            </c:dLbl>
            <c:dLbl>
              <c:idx val="13"/>
              <c:layout>
                <c:manualLayout>
                  <c:x val="-2.6154636920384874E-2"/>
                  <c:y val="1.4298010728456819E-2"/>
                </c:manualLayout>
              </c:layout>
              <c:dLblPos val="r"/>
              <c:showVal val="1"/>
            </c:dLbl>
            <c:dLbl>
              <c:idx val="14"/>
              <c:layout>
                <c:manualLayout>
                  <c:x val="-2.1615266841644776E-2"/>
                  <c:y val="2.7042074286168292E-3"/>
                </c:manualLayout>
              </c:layout>
              <c:dLblPos val="r"/>
              <c:showVal val="1"/>
            </c:dLbl>
            <c:dLbl>
              <c:idx val="15"/>
              <c:layout>
                <c:manualLayout>
                  <c:x val="-2.5880796150481142E-2"/>
                  <c:y val="-1.3056373003879658E-2"/>
                </c:manualLayout>
              </c:layout>
              <c:dLblPos val="r"/>
              <c:showVal val="1"/>
            </c:dLbl>
            <c:dLbl>
              <c:idx val="16"/>
              <c:layout>
                <c:manualLayout>
                  <c:x val="-2.0466316710411162E-2"/>
                  <c:y val="-7.536961920164083E-3"/>
                </c:manualLayout>
              </c:layout>
              <c:dLblPos val="r"/>
              <c:showVal val="1"/>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Val val="1"/>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-0.74220666306230432</c:v>
                </c:pt>
                <c:pt idx="1">
                  <c:v>-0.52741782311870999</c:v>
                </c:pt>
                <c:pt idx="2">
                  <c:v>-0.23162814729025077</c:v>
                </c:pt>
                <c:pt idx="3">
                  <c:v>8.5110285824464924E-3</c:v>
                </c:pt>
                <c:pt idx="4">
                  <c:v>0.1402469086178906</c:v>
                </c:pt>
                <c:pt idx="5">
                  <c:v>0.47233262516722013</c:v>
                </c:pt>
                <c:pt idx="6">
                  <c:v>0.70917560594947104</c:v>
                </c:pt>
                <c:pt idx="7">
                  <c:v>0.7583764458508333</c:v>
                </c:pt>
                <c:pt idx="8">
                  <c:v>0.74609854692425648</c:v>
                </c:pt>
                <c:pt idx="9">
                  <c:v>0.56793003515448237</c:v>
                </c:pt>
                <c:pt idx="10">
                  <c:v>0.25328602427309965</c:v>
                </c:pt>
                <c:pt idx="11">
                  <c:v>8.3476317986600594E-3</c:v>
                </c:pt>
                <c:pt idx="12">
                  <c:v>-9.8670210898872568E-2</c:v>
                </c:pt>
                <c:pt idx="13">
                  <c:v>-0.45115436287218297</c:v>
                </c:pt>
                <c:pt idx="14">
                  <c:v>-0.70025342394403944</c:v>
                </c:pt>
                <c:pt idx="15">
                  <c:v>-0.75833210143282381</c:v>
                </c:pt>
                <c:pt idx="16" formatCode="0.00">
                  <c:v>-0.74220666306230432</c:v>
                </c:pt>
              </c:numCache>
            </c:numRef>
          </c:yVal>
          <c:smooth val="1"/>
        </c:ser>
        <c:dLbls/>
        <c:axId val="74672000"/>
        <c:axId val="74686464"/>
      </c:scatterChart>
      <c:valAx>
        <c:axId val="74672000"/>
        <c:scaling>
          <c:orientation val="minMax"/>
          <c:max val="370"/>
          <c:min val="1"/>
        </c:scaling>
        <c:axPos val="b"/>
        <c:title>
          <c:tx>
            <c:strRef>
              <c:f>DATA!$C$62</c:f>
              <c:strCache>
                <c:ptCount val="1"/>
                <c:pt idx="0">
                  <c:v>Day (Date)</c:v>
                </c:pt>
              </c:strCache>
            </c:strRef>
          </c:tx>
          <c:layout>
            <c:manualLayout>
              <c:xMode val="edge"/>
              <c:yMode val="edge"/>
              <c:x val="0.47604166666666681"/>
              <c:y val="0.95959595959595967"/>
            </c:manualLayout>
          </c:layout>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74686464"/>
        <c:crosses val="autoZero"/>
        <c:crossBetween val="midCat"/>
        <c:majorUnit val="28"/>
        <c:minorUnit val="7"/>
      </c:valAx>
      <c:valAx>
        <c:axId val="74686464"/>
        <c:scaling>
          <c:orientation val="minMax"/>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16"/>
            </c:manualLayout>
          </c:layout>
          <c:spPr>
            <a:noFill/>
            <a:ln w="25400">
              <a:noFill/>
            </a:ln>
          </c:spPr>
        </c:title>
        <c:numFmt formatCode="0.000_)"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74672000"/>
        <c:crossesAt val="1"/>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110"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106"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110"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2013</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7/ août/ 13</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29.00</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-77.70</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2.17</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0.045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1.507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68580</xdr:colOff>
      <xdr:row>3</xdr:row>
      <xdr:rowOff>160020</xdr:rowOff>
    </xdr:from>
    <xdr:to>
      <xdr:col>7</xdr:col>
      <xdr:colOff>22860</xdr:colOff>
      <xdr:row>14</xdr:row>
      <xdr:rowOff>121920</xdr:rowOff>
    </xdr:to>
    <xdr:sp macro="" textlink="">
      <xdr:nvSpPr>
        <xdr:cNvPr id="248835" name="Text Box 3" hidden="1"/>
        <xdr:cNvSpPr txBox="1">
          <a:spLocks noChangeArrowheads="1"/>
        </xdr:cNvSpPr>
      </xdr:nvSpPr>
      <xdr:spPr bwMode="auto">
        <a:xfrm>
          <a:off x="1447800" y="1097280"/>
          <a:ext cx="4328160" cy="22631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syncVertical="1" syncRef="A1" transitionEvaluation="1" codeName="Tabelle1">
    <pageSetUpPr fitToPage="1"/>
  </sheetPr>
  <dimension ref="A1:AP112"/>
  <sheetViews>
    <sheetView tabSelected="1" zoomScale="75" zoomScaleNormal="60" workbookViewId="0">
      <selection activeCell="M8" sqref="M8"/>
    </sheetView>
  </sheetViews>
  <sheetFormatPr baseColWidth="10" defaultColWidth="8.88671875" defaultRowHeight="15"/>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c r="E1" s="317"/>
      <c r="F1" s="318"/>
      <c r="G1" s="318"/>
      <c r="H1" s="319"/>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c r="D2" s="1"/>
      <c r="E2" s="320"/>
      <c r="F2" s="321"/>
      <c r="G2" s="321"/>
      <c r="H2" s="322"/>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c r="E3" s="320"/>
      <c r="F3" s="321"/>
      <c r="G3" s="321"/>
      <c r="H3" s="322"/>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c r="B4" s="316" t="str">
        <f>IF($C$7,"Analemmatic Sundial, v. 2.2b","Analemmatische Sonnenuhr, v. 2.2b")</f>
        <v>Analemmatic Sundial, v. 2.2b</v>
      </c>
      <c r="C4" s="316"/>
      <c r="D4" s="316"/>
      <c r="E4" s="320"/>
      <c r="F4" s="321"/>
      <c r="G4" s="321"/>
      <c r="H4" s="322"/>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c r="B5" s="326" t="s">
        <v>21</v>
      </c>
      <c r="C5" s="326"/>
      <c r="D5" s="327"/>
      <c r="E5" s="323" t="str">
        <f>IF($C$7&gt;0,"For Shortkeys look at tabsheet 'Help'","Steuerungsbefehle siehe Tabellenblatt 'Hilfe' ")</f>
        <v>For Shortkeys look at tabsheet 'Help'</v>
      </c>
      <c r="F5" s="324"/>
      <c r="G5" s="324"/>
      <c r="H5" s="325"/>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c r="A8" s="290"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c r="A9" s="291"/>
      <c r="B9" s="1" t="str">
        <f>IF($C$7,"Latitude =","Geogr. Breite =")</f>
        <v>Latitude =</v>
      </c>
      <c r="C9" s="19">
        <v>29</v>
      </c>
      <c r="D9" s="1" t="str">
        <f>IF($C$7,"North","Nord")</f>
        <v>North</v>
      </c>
      <c r="E9" s="180"/>
      <c r="F9" s="1"/>
      <c r="G9" s="1" t="str">
        <f>IF($C$7,"Sunsets","Sonne unter")</f>
        <v>Sunsets</v>
      </c>
      <c r="H9" s="13">
        <f>ACOS(TAN(23.44*$J$1)*TAN($C$9*$J$1))/(2*PI())+$C$10/360+0.5+($E$14-$F$12)/24</f>
        <v>0.72470541804738786</v>
      </c>
      <c r="I9" s="13">
        <f>ACOS(TAN(-23.44*$J$1)*TAN($C$9*$J$1))/(2*PI())+($C$10)/360+0.5+($E$14-$F$12)/24</f>
        <v>0.80196124861927875</v>
      </c>
      <c r="J9" s="202">
        <f>($C$9-$D$19)*$J$1</f>
        <v>0.50614548307835561</v>
      </c>
      <c r="K9" s="202">
        <f>SIN($J$9)</f>
        <v>0.48480962024633706</v>
      </c>
      <c r="L9" s="84"/>
      <c r="M9" s="179">
        <f t="shared" si="0"/>
        <v>12</v>
      </c>
      <c r="N9" s="179">
        <v>12</v>
      </c>
      <c r="O9" s="84"/>
      <c r="P9" s="86"/>
      <c r="Q9" s="86"/>
      <c r="R9" s="86"/>
      <c r="S9" s="86"/>
      <c r="T9" s="86"/>
      <c r="U9" s="86"/>
      <c r="V9" s="86"/>
      <c r="W9" s="86"/>
      <c r="X9" s="86"/>
      <c r="Y9" s="86"/>
      <c r="Z9" s="86"/>
      <c r="AJ9" s="226">
        <f>($C$9-$D$19)*$J$1</f>
        <v>0.50614548307835561</v>
      </c>
      <c r="AK9" s="226">
        <f>SIN($J$9)</f>
        <v>0.48480962024633706</v>
      </c>
      <c r="AL9" s="9"/>
      <c r="AM9" s="179">
        <f t="shared" si="1"/>
        <v>12</v>
      </c>
      <c r="AN9" s="179">
        <v>12</v>
      </c>
    </row>
    <row r="10" spans="1:40" ht="15.75" thickBot="1">
      <c r="A10" s="291"/>
      <c r="B10" s="1" t="str">
        <f>IF($C$7,"Longitude =","Geogr. Länge =")</f>
        <v>Longitude =</v>
      </c>
      <c r="C10" s="14">
        <v>-77.7</v>
      </c>
      <c r="D10" s="1" t="str">
        <f>IF($C$7,IF($C$10&lt;0,"East","West"),IF($C$10&lt;0,"östl. Länge","westl. Länge"))</f>
        <v>East</v>
      </c>
      <c r="E10" s="1"/>
      <c r="F10" s="1"/>
      <c r="G10" s="1" t="str">
        <f>IF($C$7,"Sunrises","Sonne auf")</f>
        <v>Sunrises</v>
      </c>
      <c r="H10" s="13">
        <f>0.5-ACOS(TAN(23.44*$J$1)*TAN($C$9*$J$1))/(2*PI())+($C$10/360)+($E$14-$F$12)/24</f>
        <v>0.30196124861927875</v>
      </c>
      <c r="I10" s="13">
        <f>0.5-ACOS(TAN(-23.44*$J$1)*TAN($C$9*$J$1))/(2*PI())+($C$10)/360+($E$14-$F$12)/24</f>
        <v>0.22470541804738781</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c r="A11" s="291"/>
      <c r="B11" s="47" t="str">
        <f>IF($C$7,"Longitude Correction (hh:mm:ss)","Längengrad-Korrektur (hh:mm:ss)")</f>
        <v>Longitude Correction (hh:mm:ss)</v>
      </c>
      <c r="C11" s="47"/>
      <c r="D11" s="77">
        <f>IF($C$10-$C$8&lt;0,($C$8-$C$10)/360,($C$10-$C$8)/360)</f>
        <v>1.3333333333333326E-2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c r="A12" s="291"/>
      <c r="B12" s="47" t="str">
        <f>IF($C$7,"Draw Chart 'EoT' for Year ","Tabelle 'EoT' für das Jahr ")</f>
        <v xml:space="preserve">Draw Chart 'EoT' for Year </v>
      </c>
      <c r="C12" s="47"/>
      <c r="D12" s="79">
        <v>2013</v>
      </c>
      <c r="E12" s="22">
        <f>D12</f>
        <v>2013</v>
      </c>
      <c r="F12" s="21">
        <f>$C$8/15</f>
        <v>-5.5</v>
      </c>
      <c r="G12" s="23" t="str">
        <f>IF($C$7,"= Time Zone","= Zeitzone")</f>
        <v>= Time Zone</v>
      </c>
      <c r="H12" s="5"/>
      <c r="I12" s="75"/>
      <c r="J12" s="204">
        <f>SIN($K$21)*SIN($J$9)</f>
        <v>0.13600620184213508</v>
      </c>
      <c r="K12" s="204">
        <f>COS($K$21)*COS($J$9)</f>
        <v>0.83949822904228111</v>
      </c>
      <c r="L12" s="84"/>
      <c r="M12" s="179">
        <f t="shared" si="0"/>
        <v>15</v>
      </c>
      <c r="N12" s="179">
        <v>15</v>
      </c>
      <c r="O12" s="84"/>
      <c r="P12" s="86"/>
      <c r="Q12" s="86"/>
      <c r="R12" s="86"/>
      <c r="S12" s="86"/>
      <c r="T12" s="86"/>
      <c r="U12" s="86"/>
      <c r="V12" s="86"/>
      <c r="W12" s="86"/>
      <c r="X12" s="86"/>
      <c r="Y12" s="86"/>
      <c r="Z12" s="86"/>
      <c r="AJ12" s="228">
        <f>SIN($K$21)*SIN($J$9)</f>
        <v>0.13600620184213508</v>
      </c>
      <c r="AK12" s="228">
        <f>COS($K$21)*COS($J$9)</f>
        <v>0.83949822904228111</v>
      </c>
      <c r="AL12" s="9"/>
      <c r="AM12" s="179">
        <f t="shared" si="1"/>
        <v>15</v>
      </c>
      <c r="AN12" s="179">
        <v>15</v>
      </c>
    </row>
    <row r="13" spans="1:40" ht="15.75" thickBot="1">
      <c r="A13" s="291"/>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c r="A14" s="291"/>
      <c r="B14" t="str">
        <f>IF($C$7,"Show DST (Column B, Rise, Set) : 1=yes, 0=no","Mit Sommerzeit (Spalte B, Auf-, Untergang) : 1=ja, 0=nein")</f>
        <v>Show DST (Column B, Rise, Set) : 1=yes, 0=no</v>
      </c>
      <c r="C14" s="15"/>
      <c r="E14" s="22">
        <v>0</v>
      </c>
      <c r="G14" s="3"/>
      <c r="H14" s="3"/>
      <c r="I14" s="75"/>
      <c r="J14" s="207">
        <f>$G$17</f>
        <v>0.51125340357826576</v>
      </c>
      <c r="K14" s="210">
        <f>$C$17</f>
        <v>2</v>
      </c>
      <c r="L14" s="84"/>
      <c r="M14" s="179">
        <f t="shared" si="0"/>
        <v>17</v>
      </c>
      <c r="N14" s="179">
        <v>17</v>
      </c>
      <c r="O14" s="84"/>
      <c r="P14" s="87"/>
      <c r="Q14" s="86"/>
      <c r="R14" s="86"/>
      <c r="S14" s="86"/>
      <c r="T14" s="86"/>
      <c r="U14" s="86"/>
      <c r="V14" s="86"/>
      <c r="W14" s="86"/>
      <c r="X14" s="86"/>
      <c r="Y14" s="86"/>
      <c r="Z14" s="86"/>
      <c r="AJ14" s="231">
        <f>$G$17</f>
        <v>0.51125340357826576</v>
      </c>
      <c r="AK14" s="234">
        <f>$C$17</f>
        <v>2</v>
      </c>
      <c r="AL14" s="9"/>
      <c r="AM14" s="179">
        <f t="shared" si="1"/>
        <v>17</v>
      </c>
      <c r="AN14" s="179">
        <v>17</v>
      </c>
    </row>
    <row r="15" spans="1:40" ht="15.75" thickBot="1">
      <c r="A15" s="291"/>
      <c r="B15" t="str">
        <f>IF($C$7,"E/W-SemiAxis =","O/W-Halbachse =")</f>
        <v>E/W-SemiAxis =</v>
      </c>
      <c r="C15" s="11">
        <v>2</v>
      </c>
      <c r="E15" s="330" t="str">
        <f>IF($C$7,"Focus c =","Brennpkunkt  c = ")</f>
        <v>Focus c =</v>
      </c>
      <c r="F15" s="330"/>
      <c r="G15" s="16">
        <f>SQRT(ABS(C15^2-C16^2))</f>
        <v>1.7492394142787915</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c r="A16" s="291"/>
      <c r="B16" s="1" t="str">
        <f>IF($C$7,"N/S-SemiAxis =","N/S-Halbachse =")</f>
        <v>N/S-SemiAxis =</v>
      </c>
      <c r="C16" s="17">
        <f>$C$15*COS(($D$18-$C$9)*$J$1)/SIN($K$18)</f>
        <v>0.96961924049267423</v>
      </c>
      <c r="D16" s="193"/>
      <c r="E16" s="313" t="str">
        <f>IF($C$7,"String Length 2a+2c =","Strecke 2a+2c =")</f>
        <v>String Length 2a+2c =</v>
      </c>
      <c r="F16" s="313"/>
      <c r="G16" s="1">
        <f>IF(C15&gt;C16,(C15+G15)*2,(C16+G15)*2)</f>
        <v>7.498478828557583</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c r="A17" s="291"/>
      <c r="B17" s="1" t="str">
        <f>IF($C$7,"Gnomon Height =","Gnomon Höhe =")</f>
        <v>Gnomon Height =</v>
      </c>
      <c r="C17" s="19">
        <v>2</v>
      </c>
      <c r="D17" s="44"/>
      <c r="E17" s="314" t="str">
        <f>IF($C$7,"Position Yo = ","Standpunkt Yo = ")</f>
        <v xml:space="preserve">Position Yo = </v>
      </c>
      <c r="F17" s="315"/>
      <c r="G17" s="48">
        <f>$C$15*TAN($G$20*$J$1)*SIN(($K$18-$J$9))/SIN($K$18)</f>
        <v>0.51125340357826576</v>
      </c>
      <c r="H17" s="192"/>
      <c r="I17" s="215">
        <f>$D$109</f>
        <v>-0.75841381213164138</v>
      </c>
      <c r="J17" s="204" t="str">
        <f>IF($C$7,"East","Ost")</f>
        <v>East</v>
      </c>
      <c r="K17" s="204">
        <v>0</v>
      </c>
      <c r="L17" s="204">
        <f>$G$17+$C$17*COS(($D$18-$D$19)*$J$1)</f>
        <v>0.51125340357826587</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0.51125340357826587</v>
      </c>
      <c r="AM17" s="179">
        <f t="shared" si="1"/>
        <v>20</v>
      </c>
      <c r="AN17" s="179">
        <v>20</v>
      </c>
    </row>
    <row r="18" spans="1:42" ht="15.75" thickBot="1">
      <c r="A18" s="291"/>
      <c r="B18" s="351" t="str">
        <f>IF($C$7,"Gnomon Inclination =","Gnomon Neigung =")</f>
        <v>Gnomon Inclination =</v>
      </c>
      <c r="C18" s="352"/>
      <c r="D18" s="19">
        <v>90</v>
      </c>
      <c r="E18" s="83"/>
      <c r="F18" s="83" t="str">
        <f>IF($C$7,"Minimal Height =","Minimale Höhe =")</f>
        <v>Minimal Height =</v>
      </c>
      <c r="G18" s="49">
        <f>COS(($C$9-23.44)*$J$1)/SIN($K$18)/COS(23.44*$J$1)*$C$15</f>
        <v>2.16963505509016</v>
      </c>
      <c r="H18" s="3"/>
      <c r="I18" s="163" t="s">
        <v>28</v>
      </c>
      <c r="J18" s="204">
        <f>COS($J$9)*SIN(G20*$J$1)</f>
        <v>0.24536168313629594</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c r="A19" s="291"/>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0.46534146703670626</v>
      </c>
      <c r="L19" s="163" t="s">
        <v>29</v>
      </c>
      <c r="M19" s="179" t="str">
        <f t="shared" si="0"/>
        <v/>
      </c>
      <c r="N19" s="179">
        <v>22</v>
      </c>
      <c r="O19" s="84"/>
      <c r="P19" s="86"/>
      <c r="Q19" s="86"/>
      <c r="R19" s="86"/>
      <c r="S19" s="86"/>
      <c r="T19" s="86"/>
      <c r="U19" s="86"/>
      <c r="V19" s="86"/>
      <c r="W19" s="86"/>
      <c r="X19" s="86"/>
      <c r="Y19" s="86"/>
      <c r="Z19" s="86"/>
      <c r="AJ19" s="236"/>
      <c r="AK19" s="228">
        <f>SIN($J$9)*COS($G$20*$J$1)</f>
        <v>0.46534146703670626</v>
      </c>
      <c r="AL19" s="9" t="s">
        <v>29</v>
      </c>
      <c r="AM19" s="179" t="str">
        <f t="shared" si="1"/>
        <v/>
      </c>
      <c r="AN19" s="179">
        <v>22</v>
      </c>
    </row>
    <row r="20" spans="1:42" ht="15.75" thickBot="1">
      <c r="A20" s="291"/>
      <c r="B20" s="276" t="str">
        <f>IF($C$7,"Shadow Path for Date (dd-mm-yy)","Schattenweg für Datum (dd-mm-jj)")</f>
        <v>Shadow Path for Date (dd-mm-yy)</v>
      </c>
      <c r="C20" s="277"/>
      <c r="D20" s="271">
        <v>41493</v>
      </c>
      <c r="E20" s="296" t="str">
        <f>IF($C$7,"Sun Declination dek0:","Sonne Deklination dek0:")</f>
        <v>Sun Declination dek0:</v>
      </c>
      <c r="F20" s="297"/>
      <c r="G20" s="49">
        <f>ASIN(SIN(K79*$J$1)*SIN(P79*$J$1))/$J$1</f>
        <v>16.292154391181352</v>
      </c>
      <c r="H20" s="90">
        <f>0.5-ACOS(TAN(-$G$20*$J$1)*TAN($C$9*$J$1))/(2*PI())+($C$10)/360+($E$14-$F$12)/24</f>
        <v>0.23743466548550818</v>
      </c>
      <c r="I20" s="90">
        <f>ACOS(TAN(-$G$20*$J$1)*TAN($C$9*$J$1))/(2*PI())+($C$10)/360+0.5+($E$14-$F$12)/24</f>
        <v>0.78923200118115844</v>
      </c>
      <c r="J20" s="224">
        <f>ACOS(SIN($G$20*$J$1)/COS($C$9*$J$1))/$J$1</f>
        <v>71.291642559013667</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c r="A21" s="291"/>
      <c r="B21" s="300" t="str">
        <f>IF($C$7,"Rise/Set Marks for Declination","Auf-/Untergang für Deklination")</f>
        <v>Rise/Set Marks for Declination</v>
      </c>
      <c r="C21" s="301"/>
      <c r="D21" s="50">
        <v>-23.44</v>
      </c>
      <c r="E21" s="298" t="str">
        <f>IF($C$7,"SeasonMarker on E/W-axis:","Auf-/Untergangspunkt:")</f>
        <v>SeasonMarker on E/W-axis:</v>
      </c>
      <c r="F21" s="299"/>
      <c r="G21" s="51">
        <f>$D$108</f>
        <v>1.4850790318553813</v>
      </c>
      <c r="H21" s="124">
        <f>0.5-ACOS(TAN(-$J$3*$J$1)*TAN($C$9*$J$1))/(2*PI())+($C$10)/360+($E$14-$F$12)/24</f>
        <v>0.30196124861927875</v>
      </c>
      <c r="I21" s="124">
        <f>ACOS(TAN(-$J$3*$J$1)*TAN($C$9*$J$1))/(2*PI())+($C$10)/360+0.5+($E$14-$F$12)/24</f>
        <v>0.72470541804738786</v>
      </c>
      <c r="J21" s="225">
        <f>ACOS(SIN($D$21*$J$1)/COS($C$9*$J$1))/$J$1</f>
        <v>117.05290992023494</v>
      </c>
      <c r="K21" s="204">
        <f>$J$1*$G$20</f>
        <v>0.28435173636936684</v>
      </c>
      <c r="L21" s="213">
        <f>$C$15*TAN($D$21*$J$1)*SIN(($K$18-$J$9))/SIN($K$18)</f>
        <v>-0.75841381213164138</v>
      </c>
      <c r="M21" s="40"/>
      <c r="N21" s="40"/>
      <c r="O21" s="91"/>
      <c r="P21" s="86"/>
      <c r="Q21" s="86"/>
      <c r="R21" s="88"/>
      <c r="S21" s="86"/>
      <c r="T21" s="86"/>
      <c r="U21" s="86"/>
      <c r="V21" s="86"/>
      <c r="W21" s="86"/>
      <c r="X21" s="86"/>
      <c r="Y21" s="86"/>
      <c r="Z21" s="86"/>
      <c r="AJ21" s="40"/>
      <c r="AK21" s="228">
        <f>$J$1*$G$20</f>
        <v>0.28435173636936684</v>
      </c>
      <c r="AL21" s="40">
        <f>$C$15*TAN($D$21*$J$1)*SIN(($K$18-$J$9))/SIN($K$18)</f>
        <v>-0.75841381213164138</v>
      </c>
      <c r="AM21" s="40"/>
      <c r="AN21" s="40"/>
    </row>
    <row r="22" spans="1:42" s="127" customFormat="1" ht="19.149999999999999" customHeight="1" thickTop="1" thickBot="1">
      <c r="A22" s="291"/>
      <c r="B22" s="131" t="str">
        <f>IF($C$7,"Begin Time =","Startzeit =")</f>
        <v>Begin Time =</v>
      </c>
      <c r="C22" s="79">
        <v>5</v>
      </c>
      <c r="D22" s="131" t="str">
        <f>IF($C$7,"End Time =","Endzeit =")</f>
        <v>End Time =</v>
      </c>
      <c r="E22" s="79">
        <v>20</v>
      </c>
      <c r="F22" s="302" t="str">
        <f>IF(($C$22+29*$A$26)&lt;$E$22,IF($C$7,"Cannot display so many lines!","Zu viele Stundenmarkierungen"),"")</f>
        <v/>
      </c>
      <c r="G22" s="303"/>
      <c r="H22" s="303"/>
      <c r="I22" s="349"/>
      <c r="J22" s="349"/>
      <c r="K22" s="349"/>
      <c r="L22" s="349"/>
      <c r="M22" s="158"/>
      <c r="N22" s="158"/>
      <c r="O22" s="128"/>
      <c r="P22" s="128"/>
      <c r="Q22" s="128"/>
      <c r="R22" s="128"/>
      <c r="S22" s="126"/>
      <c r="T22" s="126"/>
      <c r="U22" s="126"/>
      <c r="V22" s="126"/>
      <c r="W22" s="126"/>
      <c r="X22" s="126"/>
      <c r="Y22" s="126"/>
      <c r="Z22" s="126"/>
      <c r="AJ22" s="353" t="str">
        <f>IF($C$7,"Standing on the point of the 8-slope shows for times","Der Standpunkt auf der 8er-Schleife ergibt für die Zeiten")</f>
        <v>Standing on the point of the 8-slope shows for times</v>
      </c>
      <c r="AK22" s="353"/>
      <c r="AL22" s="353"/>
      <c r="AM22" s="353"/>
      <c r="AN22" s="353"/>
      <c r="AO22" s="353"/>
      <c r="AP22" s="353"/>
    </row>
    <row r="23" spans="1:42" s="125" customFormat="1" ht="18" customHeight="1" thickBot="1">
      <c r="A23" s="292"/>
      <c r="B23" s="130"/>
      <c r="C23" s="328" t="str">
        <f>IF($C$7,"Marks per Hour =","Markierungen pro Std. =")</f>
        <v>Marks per Hour =</v>
      </c>
      <c r="D23" s="329"/>
      <c r="E23" s="79">
        <v>1</v>
      </c>
      <c r="F23" s="304"/>
      <c r="G23" s="305"/>
      <c r="H23" s="305"/>
      <c r="I23" s="350"/>
      <c r="J23" s="350"/>
      <c r="K23" s="350"/>
      <c r="L23" s="350"/>
      <c r="M23" s="159"/>
      <c r="N23" s="159"/>
      <c r="O23" s="129"/>
      <c r="P23" s="129"/>
      <c r="Q23" s="129"/>
      <c r="R23" s="129"/>
      <c r="S23" s="248"/>
      <c r="T23" s="249" t="str">
        <f>IF($C$7,"Calculation for ","Berechnung für ")</f>
        <v xml:space="preserve">Calculation for </v>
      </c>
      <c r="U23" s="250">
        <f>$D$12</f>
        <v>2013</v>
      </c>
      <c r="AJ23" s="354" t="str">
        <f>IF($C$7,"near noon approximated mean time!","nahe Mittag einen Näherungswert für die mittlere Zeit!")</f>
        <v>near noon approximated mean time!</v>
      </c>
      <c r="AK23" s="354"/>
      <c r="AL23" s="354"/>
      <c r="AM23" s="354"/>
      <c r="AN23" s="354"/>
      <c r="AO23" s="354"/>
      <c r="AP23" s="354"/>
    </row>
    <row r="24" spans="1:42">
      <c r="A24" s="294" t="str">
        <f>IF($C$7,IF(E13=0,"True Local Time","Time of Zone Meridian"),IF(E13=0,"wahre Ortszeit","Zonenzeit"))</f>
        <v>Time of Zone Meridian</v>
      </c>
      <c r="B24" s="294" t="str">
        <f>IF($C$7,"True Local Time","wahre Ortszeit")</f>
        <v>True Local Time</v>
      </c>
      <c r="C24" s="295" t="str">
        <f>IF($C$7,"Time Angle","Stundenwinkel")</f>
        <v>Time Angle</v>
      </c>
      <c r="D24" s="295" t="str">
        <f>C24</f>
        <v>Time Angle</v>
      </c>
      <c r="E24" s="309" t="str">
        <f>IF($C$7,"Co-ordinates of Hour Points","Stundenmarkierung")</f>
        <v>Co-ordinates of Hour Points</v>
      </c>
      <c r="F24" s="310"/>
      <c r="G24" s="307" t="str">
        <f>IF($C$7,"Distance from Center Point","Abstand zu O (=Zentrum)")</f>
        <v>Distance from Center Point</v>
      </c>
      <c r="H24" s="307" t="str">
        <f>IF($C$7,"Distance from Noon Markt","Abstand vom Mittagspunkt")</f>
        <v>Distance from Noon Markt</v>
      </c>
      <c r="I24" s="357"/>
      <c r="J24" s="358"/>
      <c r="O24" s="168"/>
      <c r="P24" s="168"/>
      <c r="Q24" s="168"/>
      <c r="R24" s="169">
        <v>36526</v>
      </c>
      <c r="S24" s="245" t="str">
        <f>$B$62</f>
        <v>Date</v>
      </c>
      <c r="T24" s="246" t="str">
        <f>$D$62</f>
        <v>Declination</v>
      </c>
      <c r="U24" s="247" t="str">
        <f>$E$62</f>
        <v xml:space="preserve"> EQT [min.]</v>
      </c>
      <c r="V24" s="71"/>
    </row>
    <row r="25" spans="1:42">
      <c r="A25" s="294"/>
      <c r="B25" s="294"/>
      <c r="C25" s="294"/>
      <c r="D25" s="294"/>
      <c r="E25" s="311"/>
      <c r="F25" s="312"/>
      <c r="G25" s="307"/>
      <c r="H25" s="307"/>
      <c r="I25" s="357"/>
      <c r="J25" s="358"/>
      <c r="K25" s="356" t="str">
        <f>IF($C$7,"Shadow Positions for Declination ","Schatten  bei  Sonnendeklination ")</f>
        <v xml:space="preserve">Shadow Positions for Declination </v>
      </c>
      <c r="L25" s="356"/>
      <c r="M25" s="356"/>
      <c r="N25" s="288">
        <f>$G$20</f>
        <v>16.292154391181352</v>
      </c>
      <c r="O25" s="168"/>
      <c r="P25" s="168"/>
      <c r="Q25" s="170"/>
      <c r="R25" s="170">
        <f>DATEVALUE(S25-$R$24)</f>
        <v>4749</v>
      </c>
      <c r="S25" s="251">
        <f>DATE(E12,1,1)</f>
        <v>41275</v>
      </c>
      <c r="T25" s="198">
        <v>-23.005773582321407</v>
      </c>
      <c r="U25" s="199">
        <v>-3.4289869774418986</v>
      </c>
      <c r="W25" s="92"/>
      <c r="X25" s="92"/>
      <c r="Y25" s="92"/>
      <c r="Z25" s="92"/>
      <c r="AA25" s="92"/>
      <c r="AB25" s="92"/>
    </row>
    <row r="26" spans="1:42" s="279" customFormat="1" ht="18" customHeight="1">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4759</v>
      </c>
      <c r="S26" s="251">
        <f>S25+10</f>
        <v>41285</v>
      </c>
      <c r="T26" s="198">
        <v>-21.812820983298522</v>
      </c>
      <c r="U26" s="199">
        <v>-7.8102587161777173</v>
      </c>
      <c r="W26" s="287"/>
      <c r="X26" s="287"/>
      <c r="Y26" s="287"/>
      <c r="Z26" s="287"/>
      <c r="AA26" s="287"/>
      <c r="AB26" s="287"/>
    </row>
    <row r="27" spans="1:42">
      <c r="C27" s="1"/>
      <c r="D27" s="1"/>
      <c r="E27" s="103"/>
      <c r="F27" s="103"/>
      <c r="G27" s="172"/>
      <c r="H27" s="173"/>
      <c r="I27" s="214"/>
      <c r="O27" s="72"/>
      <c r="P27" s="72"/>
      <c r="Q27" s="182"/>
      <c r="R27" s="170">
        <f t="shared" si="2"/>
        <v>4769</v>
      </c>
      <c r="S27" s="251">
        <f>S26+10</f>
        <v>41295</v>
      </c>
      <c r="T27" s="198">
        <v>-19.915228694018154</v>
      </c>
      <c r="U27" s="199">
        <v>-11.232453393627591</v>
      </c>
      <c r="W27" s="93"/>
      <c r="X27" s="93"/>
      <c r="Y27" s="93"/>
      <c r="Z27" s="93"/>
      <c r="AA27" s="93"/>
      <c r="AB27" s="93"/>
    </row>
    <row r="28" spans="1:42">
      <c r="A28" s="132">
        <f>$C$22</f>
        <v>5</v>
      </c>
      <c r="B28" s="18">
        <f>A28/24+$E$13*(($C$10/360)-($F$12)/24+$E$14/24)</f>
        <v>0.22166666666666665</v>
      </c>
      <c r="C28" s="3">
        <f>($A28-12)*15+$E$13*($C$8-$C$10)</f>
        <v>-109.8</v>
      </c>
      <c r="D28" s="3">
        <f>C28*$J$1</f>
        <v>-1.9163715186897738</v>
      </c>
      <c r="E28" s="53">
        <f>SIN($D28)*$C$15</f>
        <v>-1.8817615379084509</v>
      </c>
      <c r="F28" s="53">
        <f>COS($D28)*$C$16</f>
        <v>-0.32844680495430745</v>
      </c>
      <c r="G28" s="174">
        <f>SQRT($F28*$F28+$E28*$E28)</f>
        <v>1.9102104044414248</v>
      </c>
      <c r="H28" s="175">
        <f>SQRT($E28*$E28+($C$16-F28)^2)</f>
        <v>2.2860450441524427</v>
      </c>
      <c r="I28" s="3"/>
      <c r="J28">
        <f>ASIN($J$12+($K$12*COS($D28)))</f>
        <v>-0.14891343691077114</v>
      </c>
      <c r="K28" s="6">
        <f>$C$17*SIN(($D$18-$D$19)*$J$1)/TAN($J28)</f>
        <v>-13.331198751105015</v>
      </c>
      <c r="L28">
        <f>IF($O28&gt;0,$P28,PI()-$P28)</f>
        <v>4.2926738295410214</v>
      </c>
      <c r="M28">
        <f t="shared" ref="M28:M34" si="3">IF($J28&gt;0,IF($K28&lt;15,$K28*SIN($L28),$M29),$M29)</f>
        <v>-6.6370102541064862</v>
      </c>
      <c r="N28">
        <f t="shared" ref="N28:N34" si="4">IF($J28&gt;0,IF(K28&lt;15,$K28*COS($L28)+$L$17,$N29),$N29)</f>
        <v>-0.63363473411040983</v>
      </c>
      <c r="O28" s="163">
        <f>COS(D28)*$K$19-$J$18</f>
        <v>-0.40299048388420267</v>
      </c>
      <c r="P28" s="170">
        <f t="shared" ref="P28:P36" si="5">ASIN(COS($K$21)*SIN($D28)/COS($J28))</f>
        <v>-1.1510811759512278</v>
      </c>
      <c r="Q28" s="170">
        <f>IF($E28=0,90,ATAN($F28/$E28)/$J$1)</f>
        <v>9.9007931307965134</v>
      </c>
      <c r="R28" s="170">
        <f t="shared" si="2"/>
        <v>4780</v>
      </c>
      <c r="S28" s="251">
        <f>S27+11</f>
        <v>41306</v>
      </c>
      <c r="T28" s="198">
        <v>-17.117957759780666</v>
      </c>
      <c r="U28" s="199">
        <v>-13.548549563478849</v>
      </c>
      <c r="AL28" s="2"/>
    </row>
    <row r="29" spans="1:42">
      <c r="A29" s="132">
        <f t="shared" ref="A29:A34" si="6">IF($A28+$A$26&gt;$E$22,$A28,$A28+$A$26)</f>
        <v>6</v>
      </c>
      <c r="B29" s="18">
        <f>A29/24+$E$13*(($C$10/360)-($F$12)/24+$E$14/24)</f>
        <v>0.26333333333333331</v>
      </c>
      <c r="C29" s="3">
        <f t="shared" ref="C29:C58" si="7">($A29-12)*15+$E$13*($C$8-$C$10)</f>
        <v>-94.8</v>
      </c>
      <c r="D29" s="3">
        <f t="shared" ref="D29:D58" si="8">C29*$J$1</f>
        <v>-1.6545721308906243</v>
      </c>
      <c r="E29" s="53">
        <f t="shared" ref="E29:E40" si="9">SIN($D29)*$C$15</f>
        <v>-1.9929857184990087</v>
      </c>
      <c r="F29" s="53">
        <f t="shared" ref="F29:F41" si="10">COS($D29)*$C$16</f>
        <v>-8.1135646897944572E-2</v>
      </c>
      <c r="G29" s="174">
        <f t="shared" ref="G29:G58" si="11">SQRT($F29*$F29+$E29*$E29)</f>
        <v>1.9946365752533863</v>
      </c>
      <c r="H29" s="175">
        <f t="shared" ref="H29:H58" si="12">SQRT($E29*$E29+($C$16-F29)^2)</f>
        <v>2.2530152923396418</v>
      </c>
      <c r="I29" s="3"/>
      <c r="J29">
        <f t="shared" ref="J29:J39" si="13">ASIN($J$12+($K$12*COS($D29)))</f>
        <v>6.5806285598948147E-2</v>
      </c>
      <c r="K29" s="6">
        <f t="shared" ref="K29:K58" si="14">$C$17*SIN(($D$18-$D$19)*$J$1)/TAN($J29)</f>
        <v>30.348350007376709</v>
      </c>
      <c r="L29">
        <f t="shared" ref="L29:L58" si="15">IF($O29&gt;0,$P29,PI()-$P29)</f>
        <v>4.4234689929678144</v>
      </c>
      <c r="M29">
        <f t="shared" si="3"/>
        <v>-6.6370102541064862</v>
      </c>
      <c r="N29">
        <f t="shared" si="4"/>
        <v>-0.63363473411040983</v>
      </c>
      <c r="O29" s="163">
        <f t="shared" ref="O29:O58" si="16">COS(D29)*$K$19-$J$18</f>
        <v>-0.28430045351102323</v>
      </c>
      <c r="P29" s="170">
        <f t="shared" si="5"/>
        <v>-1.2818763393780215</v>
      </c>
      <c r="Q29" s="170">
        <f t="shared" ref="Q29:Q58" si="17">IF($E29=0,90,ATAN($F29/$E29)/$J$1)</f>
        <v>2.3312582961924471</v>
      </c>
      <c r="R29" s="170">
        <f t="shared" si="2"/>
        <v>4790</v>
      </c>
      <c r="S29" s="251">
        <f>S28+10</f>
        <v>41316</v>
      </c>
      <c r="T29" s="198">
        <v>-14.044293129837797</v>
      </c>
      <c r="U29" s="199">
        <v>-14.233751957218884</v>
      </c>
      <c r="AL29" s="2"/>
    </row>
    <row r="30" spans="1:42">
      <c r="A30" s="132">
        <f t="shared" si="6"/>
        <v>7</v>
      </c>
      <c r="B30" s="18">
        <f>A30/24+$E$13*(($C$10/360)-($F$12)/24+$E$14/24)</f>
        <v>0.30499999999999999</v>
      </c>
      <c r="C30" s="3">
        <f t="shared" si="7"/>
        <v>-79.8</v>
      </c>
      <c r="D30" s="3">
        <f t="shared" si="8"/>
        <v>-1.3927727430914749</v>
      </c>
      <c r="E30" s="53">
        <f t="shared" si="9"/>
        <v>-1.9683912159384838</v>
      </c>
      <c r="F30" s="53">
        <f t="shared" si="10"/>
        <v>0.17170477141151688</v>
      </c>
      <c r="G30" s="174">
        <f t="shared" si="11"/>
        <v>1.9758660145640605</v>
      </c>
      <c r="H30" s="175">
        <f t="shared" si="12"/>
        <v>2.1239659787653964</v>
      </c>
      <c r="I30" s="3"/>
      <c r="J30">
        <f>ASIN($J$12+($K$12*COS($D30)))</f>
        <v>0.28866063190725272</v>
      </c>
      <c r="K30" s="6">
        <f t="shared" si="14"/>
        <v>6.7350333303507037</v>
      </c>
      <c r="L30">
        <f t="shared" si="15"/>
        <v>4.5415694857961721</v>
      </c>
      <c r="M30">
        <f t="shared" si="3"/>
        <v>-6.6370102541064862</v>
      </c>
      <c r="N30">
        <f t="shared" si="4"/>
        <v>-0.63363473411040983</v>
      </c>
      <c r="O30" s="163">
        <f t="shared" si="16"/>
        <v>-0.16295681028616685</v>
      </c>
      <c r="P30" s="170">
        <f t="shared" si="5"/>
        <v>-1.3999768322063788</v>
      </c>
      <c r="Q30" s="170">
        <f t="shared" si="17"/>
        <v>-4.9853498579968241</v>
      </c>
      <c r="R30" s="170">
        <f t="shared" si="2"/>
        <v>4800</v>
      </c>
      <c r="S30" s="251">
        <f>S29+10</f>
        <v>41326</v>
      </c>
      <c r="T30" s="198">
        <v>-10.583007475517189</v>
      </c>
      <c r="U30" s="199">
        <v>-13.647109608257185</v>
      </c>
      <c r="AM30" s="2"/>
    </row>
    <row r="31" spans="1:42">
      <c r="A31" s="132">
        <f t="shared" si="6"/>
        <v>8</v>
      </c>
      <c r="B31" s="18">
        <f t="shared" ref="B31:B58" si="18">A31/24+$E$13*(($C$10/360)-($F$12)/24+$E$14/24)</f>
        <v>0.34666666666666662</v>
      </c>
      <c r="C31" s="3">
        <f t="shared" si="7"/>
        <v>-64.8</v>
      </c>
      <c r="D31" s="3">
        <f t="shared" si="8"/>
        <v>-1.1309733552923256</v>
      </c>
      <c r="E31" s="53">
        <f t="shared" si="9"/>
        <v>-1.8096541049320392</v>
      </c>
      <c r="F31" s="53">
        <f t="shared" si="10"/>
        <v>0.41284379330483467</v>
      </c>
      <c r="G31" s="174">
        <f t="shared" si="11"/>
        <v>1.8561486947892145</v>
      </c>
      <c r="H31" s="175">
        <f t="shared" si="12"/>
        <v>1.8933691869491798</v>
      </c>
      <c r="I31" s="3"/>
      <c r="J31">
        <f t="shared" si="13"/>
        <v>0.51604859545019377</v>
      </c>
      <c r="K31" s="6">
        <f t="shared" si="14"/>
        <v>3.5253045886678591</v>
      </c>
      <c r="L31">
        <f t="shared" si="15"/>
        <v>4.6580621477482991</v>
      </c>
      <c r="M31">
        <f t="shared" si="3"/>
        <v>-3.5201035677057613</v>
      </c>
      <c r="N31">
        <f t="shared" si="4"/>
        <v>0.31982896546276718</v>
      </c>
      <c r="O31" s="163">
        <f t="shared" si="16"/>
        <v>-4.7228922965555531E-2</v>
      </c>
      <c r="P31" s="170">
        <f t="shared" si="5"/>
        <v>-1.516469494158506</v>
      </c>
      <c r="Q31" s="170">
        <f t="shared" si="17"/>
        <v>-12.851185804945645</v>
      </c>
      <c r="R31" s="170">
        <f t="shared" si="2"/>
        <v>4808</v>
      </c>
      <c r="S31" s="251">
        <f>IF(MOD(YEAR(S30),4)=0,S30+9,S30+8)</f>
        <v>41334</v>
      </c>
      <c r="T31" s="198">
        <v>-7.6121405656675369</v>
      </c>
      <c r="U31" s="199">
        <v>-12.39917110056019</v>
      </c>
      <c r="AM31" s="2"/>
    </row>
    <row r="32" spans="1:42">
      <c r="A32" s="132">
        <f t="shared" si="6"/>
        <v>9</v>
      </c>
      <c r="B32" s="18">
        <f t="shared" si="18"/>
        <v>0.38833333333333331</v>
      </c>
      <c r="C32" s="3">
        <f t="shared" si="7"/>
        <v>-49.8</v>
      </c>
      <c r="D32" s="3">
        <f t="shared" si="8"/>
        <v>-0.8691739674931761</v>
      </c>
      <c r="E32" s="53">
        <f t="shared" si="9"/>
        <v>-1.5275920572692843</v>
      </c>
      <c r="F32" s="53">
        <f t="shared" si="10"/>
        <v>0.62584819294105465</v>
      </c>
      <c r="G32" s="174">
        <f t="shared" si="11"/>
        <v>1.650825082811558</v>
      </c>
      <c r="H32" s="175">
        <f t="shared" si="12"/>
        <v>1.5657956528764991</v>
      </c>
      <c r="I32" s="3"/>
      <c r="J32">
        <f t="shared" si="13"/>
        <v>0.74485713827000766</v>
      </c>
      <c r="K32" s="6">
        <f t="shared" si="14"/>
        <v>2.1691127653546571</v>
      </c>
      <c r="L32">
        <f t="shared" si="15"/>
        <v>-1.4959199543556327</v>
      </c>
      <c r="M32">
        <f t="shared" si="3"/>
        <v>-2.1630350716157092</v>
      </c>
      <c r="N32">
        <f t="shared" si="4"/>
        <v>0.67351697861884952</v>
      </c>
      <c r="O32" s="163">
        <f t="shared" si="16"/>
        <v>5.4996544179287482E-2</v>
      </c>
      <c r="P32" s="170">
        <f t="shared" si="5"/>
        <v>-1.4959199543556327</v>
      </c>
      <c r="Q32" s="170">
        <f t="shared" si="17"/>
        <v>-22.278711024622559</v>
      </c>
      <c r="R32" s="170">
        <f t="shared" si="2"/>
        <v>4818</v>
      </c>
      <c r="S32" s="251">
        <f>S31+10</f>
        <v>41344</v>
      </c>
      <c r="T32" s="198">
        <v>-3.7402901160639046</v>
      </c>
      <c r="U32" s="199">
        <v>-10.101980182850079</v>
      </c>
      <c r="AM32" s="2"/>
    </row>
    <row r="33" spans="1:39">
      <c r="A33" s="132">
        <f t="shared" si="6"/>
        <v>10</v>
      </c>
      <c r="B33" s="18">
        <f t="shared" si="18"/>
        <v>0.43</v>
      </c>
      <c r="C33" s="3">
        <f t="shared" si="7"/>
        <v>-34.799999999999997</v>
      </c>
      <c r="D33" s="3">
        <f t="shared" si="8"/>
        <v>-0.60737457969402664</v>
      </c>
      <c r="E33" s="53">
        <f t="shared" si="9"/>
        <v>-1.1414271353688632</v>
      </c>
      <c r="F33" s="53">
        <f t="shared" si="10"/>
        <v>0.7962020724913822</v>
      </c>
      <c r="G33" s="174">
        <f t="shared" si="11"/>
        <v>1.3916873375855445</v>
      </c>
      <c r="H33" s="175">
        <f t="shared" si="12"/>
        <v>1.1545256253171505</v>
      </c>
      <c r="I33" s="3"/>
      <c r="J33">
        <f t="shared" si="13"/>
        <v>0.97083864475681703</v>
      </c>
      <c r="K33" s="6">
        <f t="shared" si="14"/>
        <v>1.3681493710902337</v>
      </c>
      <c r="L33">
        <f t="shared" si="15"/>
        <v>-1.3261542076834016</v>
      </c>
      <c r="M33">
        <f t="shared" si="3"/>
        <v>-1.3274114499788017</v>
      </c>
      <c r="N33">
        <f t="shared" si="4"/>
        <v>0.84263165283397234</v>
      </c>
      <c r="O33" s="163">
        <f t="shared" si="16"/>
        <v>0.13675309449801301</v>
      </c>
      <c r="P33" s="170">
        <f t="shared" si="5"/>
        <v>-1.3261542076834016</v>
      </c>
      <c r="Q33" s="170">
        <f t="shared" si="17"/>
        <v>-34.897686162702641</v>
      </c>
      <c r="R33" s="170">
        <f t="shared" si="2"/>
        <v>4828</v>
      </c>
      <c r="S33" s="251">
        <f>S32+10</f>
        <v>41354</v>
      </c>
      <c r="T33" s="198">
        <v>0.20718685062565725</v>
      </c>
      <c r="U33" s="199">
        <v>-7.2841583300115493</v>
      </c>
      <c r="AM33" s="2"/>
    </row>
    <row r="34" spans="1:39">
      <c r="A34" s="132">
        <f t="shared" si="6"/>
        <v>11</v>
      </c>
      <c r="B34" s="18">
        <f t="shared" si="18"/>
        <v>0.47166666666666662</v>
      </c>
      <c r="C34" s="3">
        <f t="shared" si="7"/>
        <v>-19.799999999999997</v>
      </c>
      <c r="D34" s="3">
        <f t="shared" si="8"/>
        <v>-0.34557519189487718</v>
      </c>
      <c r="E34" s="53">
        <f t="shared" si="9"/>
        <v>-0.67747584049058263</v>
      </c>
      <c r="F34" s="53">
        <f t="shared" si="10"/>
        <v>0.91229609658755939</v>
      </c>
      <c r="G34" s="174">
        <f t="shared" si="11"/>
        <v>1.1363351980367935</v>
      </c>
      <c r="H34" s="175">
        <f t="shared" si="12"/>
        <v>0.67989665190791149</v>
      </c>
      <c r="I34" s="3"/>
      <c r="J34">
        <f t="shared" si="13"/>
        <v>1.1833421158150284</v>
      </c>
      <c r="K34" s="6">
        <f t="shared" si="14"/>
        <v>0.81616415701866762</v>
      </c>
      <c r="L34">
        <f t="shared" si="15"/>
        <v>-1.0363050902105295</v>
      </c>
      <c r="M34">
        <f t="shared" si="3"/>
        <v>-0.70233203331486083</v>
      </c>
      <c r="N34">
        <f t="shared" si="4"/>
        <v>0.927010118715623</v>
      </c>
      <c r="O34" s="163">
        <f t="shared" si="16"/>
        <v>0.19246915419548757</v>
      </c>
      <c r="P34" s="170">
        <f t="shared" si="5"/>
        <v>-1.0363050902105295</v>
      </c>
      <c r="Q34" s="170">
        <f t="shared" si="17"/>
        <v>-53.402227742670441</v>
      </c>
      <c r="R34" s="170">
        <f t="shared" si="2"/>
        <v>4839</v>
      </c>
      <c r="S34" s="251">
        <f>S33+11</f>
        <v>41365</v>
      </c>
      <c r="T34" s="198">
        <v>4.514295297867065</v>
      </c>
      <c r="U34" s="199">
        <v>-3.979769393993112</v>
      </c>
      <c r="AM34" s="2"/>
    </row>
    <row r="35" spans="1:39">
      <c r="A35" s="132">
        <f>IF($A34+$A$26&gt;$E$22,$A34,$A34+$A$26)</f>
        <v>12</v>
      </c>
      <c r="B35" s="18">
        <f t="shared" si="18"/>
        <v>0.51333333333333331</v>
      </c>
      <c r="C35" s="3">
        <f t="shared" si="7"/>
        <v>-4.7999999999999972</v>
      </c>
      <c r="D35" s="3">
        <f t="shared" si="8"/>
        <v>-8.3775804095727768E-2</v>
      </c>
      <c r="E35" s="53">
        <f t="shared" si="9"/>
        <v>-0.16735568666463088</v>
      </c>
      <c r="F35" s="53">
        <f t="shared" si="10"/>
        <v>0.96621864934187773</v>
      </c>
      <c r="G35" s="174">
        <f t="shared" si="11"/>
        <v>0.9806051214403444</v>
      </c>
      <c r="H35" s="175">
        <f t="shared" si="12"/>
        <v>0.16739023232902506</v>
      </c>
      <c r="I35" s="3"/>
      <c r="J35">
        <f t="shared" si="13"/>
        <v>1.3359933263910102</v>
      </c>
      <c r="K35" s="6">
        <f t="shared" si="14"/>
        <v>0.47843084237374922</v>
      </c>
      <c r="L35">
        <f t="shared" si="15"/>
        <v>-0.35248114168552885</v>
      </c>
      <c r="M35" s="191">
        <f>$K35*SIN($L35)</f>
        <v>-0.16516746756524087</v>
      </c>
      <c r="N35" s="191">
        <f>$K35*COS($L35)+$L$17</f>
        <v>0.96026986050667329</v>
      </c>
      <c r="O35" s="163">
        <f t="shared" si="16"/>
        <v>0.21834776587847046</v>
      </c>
      <c r="P35" s="170">
        <f t="shared" si="5"/>
        <v>-0.35248114168552885</v>
      </c>
      <c r="Q35" s="170">
        <f t="shared" si="17"/>
        <v>-80.173471881656283</v>
      </c>
      <c r="R35" s="170">
        <f t="shared" si="2"/>
        <v>4849</v>
      </c>
      <c r="S35" s="251">
        <f>S34+10</f>
        <v>41375</v>
      </c>
      <c r="T35" s="198">
        <v>8.2906551297568942</v>
      </c>
      <c r="U35" s="199">
        <v>-1.1433607809824879</v>
      </c>
      <c r="AM35" s="2"/>
    </row>
    <row r="36" spans="1:39">
      <c r="A36" s="132">
        <f>IF($A35+$A$26&gt;$E$22,$A35,$A35+$A$26)</f>
        <v>13</v>
      </c>
      <c r="B36" s="18">
        <f t="shared" si="18"/>
        <v>0.55499999999999994</v>
      </c>
      <c r="C36" s="3">
        <f t="shared" si="7"/>
        <v>10.200000000000003</v>
      </c>
      <c r="D36" s="3">
        <f t="shared" si="8"/>
        <v>0.17802358370342167</v>
      </c>
      <c r="E36" s="53">
        <f t="shared" si="9"/>
        <v>0.3541694806391667</v>
      </c>
      <c r="F36" s="53">
        <f t="shared" si="10"/>
        <v>0.9542949978953621</v>
      </c>
      <c r="G36" s="174">
        <f t="shared" si="11"/>
        <v>1.0178973248930003</v>
      </c>
      <c r="H36" s="175">
        <f t="shared" si="12"/>
        <v>0.35450085109544988</v>
      </c>
      <c r="I36" s="3"/>
      <c r="J36">
        <f t="shared" si="13"/>
        <v>1.2951029125964655</v>
      </c>
      <c r="K36" s="6">
        <f t="shared" si="14"/>
        <v>0.56579475487598518</v>
      </c>
      <c r="L36">
        <f t="shared" si="15"/>
        <v>0.67437777717569258</v>
      </c>
      <c r="M36">
        <f t="shared" ref="M36:M57" si="19">IF($J36&gt;0,IF($K36&lt;15,$K36*SIN($L36),$M35),$M35)</f>
        <v>0.35328870751276603</v>
      </c>
      <c r="N36">
        <f>IF($J36&gt;0,IF(K36&lt;15,$K36*COS($L36)+$L$17,$N35),$N35)</f>
        <v>0.9531932114584063</v>
      </c>
      <c r="O36" s="163">
        <f t="shared" si="16"/>
        <v>0.21262534492719412</v>
      </c>
      <c r="P36" s="170">
        <f t="shared" si="5"/>
        <v>0.67437777717569258</v>
      </c>
      <c r="Q36" s="170">
        <f t="shared" si="17"/>
        <v>69.638494814997031</v>
      </c>
      <c r="R36" s="170">
        <f t="shared" si="2"/>
        <v>4859</v>
      </c>
      <c r="S36" s="251">
        <f>S35+10</f>
        <v>41385</v>
      </c>
      <c r="T36" s="198">
        <v>11.835718791832644</v>
      </c>
      <c r="U36" s="199">
        <v>1.2232149123572587</v>
      </c>
      <c r="AM36" s="2"/>
    </row>
    <row r="37" spans="1:39">
      <c r="A37" s="132">
        <f>IF($A36+$A$26&gt;$E$22,$A36,$A36+$A$26)</f>
        <v>14</v>
      </c>
      <c r="B37" s="18">
        <f t="shared" si="18"/>
        <v>0.59666666666666668</v>
      </c>
      <c r="C37" s="3">
        <f t="shared" si="7"/>
        <v>25.200000000000003</v>
      </c>
      <c r="D37" s="3">
        <f t="shared" si="8"/>
        <v>0.4398229715025711</v>
      </c>
      <c r="E37" s="53">
        <f t="shared" si="9"/>
        <v>0.85155858313014543</v>
      </c>
      <c r="F37" s="53">
        <f t="shared" si="10"/>
        <v>0.87733771938932692</v>
      </c>
      <c r="G37" s="174">
        <f t="shared" si="11"/>
        <v>1.2226501929684901</v>
      </c>
      <c r="H37" s="175">
        <f t="shared" si="12"/>
        <v>0.85654416093962626</v>
      </c>
      <c r="I37" s="3"/>
      <c r="J37">
        <f t="shared" si="13"/>
        <v>1.109793648358435</v>
      </c>
      <c r="K37" s="6">
        <f t="shared" si="14"/>
        <v>0.99339639123360024</v>
      </c>
      <c r="L37">
        <f t="shared" si="15"/>
        <v>1.1647833795537716</v>
      </c>
      <c r="M37">
        <f t="shared" si="19"/>
        <v>0.91263605158967775</v>
      </c>
      <c r="N37">
        <f t="shared" ref="N37:N58" si="20">IF($J37&gt;0,IF(K37&lt;15,$K37*COS($L37)+$L$17,$N36),$N36)</f>
        <v>0.90359487150479456</v>
      </c>
      <c r="O37" s="163">
        <f t="shared" si="16"/>
        <v>0.17569186487274033</v>
      </c>
      <c r="P37" s="170">
        <f>ASIN(COS($K$21)*SIN($D37)/COS($J37))</f>
        <v>1.1647833795537716</v>
      </c>
      <c r="Q37" s="170">
        <f t="shared" si="17"/>
        <v>45.854259596878244</v>
      </c>
      <c r="R37" s="170">
        <f t="shared" si="2"/>
        <v>4869</v>
      </c>
      <c r="S37" s="251">
        <f>S36+10</f>
        <v>41395</v>
      </c>
      <c r="T37" s="198">
        <v>15.05638156710406</v>
      </c>
      <c r="U37" s="199">
        <v>2.8700696508811085</v>
      </c>
      <c r="AM37" s="2"/>
    </row>
    <row r="38" spans="1:39">
      <c r="A38" s="132">
        <f>IF($A37+$A$26&gt;$E$22,$A37,$A37+$A$26)</f>
        <v>15</v>
      </c>
      <c r="B38" s="18">
        <f t="shared" si="18"/>
        <v>0.63833333333333331</v>
      </c>
      <c r="C38" s="3">
        <f t="shared" si="7"/>
        <v>40.200000000000003</v>
      </c>
      <c r="D38" s="3">
        <f t="shared" si="8"/>
        <v>0.70162235930172057</v>
      </c>
      <c r="E38" s="53">
        <f t="shared" si="9"/>
        <v>1.2909153754479012</v>
      </c>
      <c r="F38" s="53">
        <f t="shared" si="10"/>
        <v>0.74059132517604254</v>
      </c>
      <c r="G38" s="174">
        <f t="shared" si="11"/>
        <v>1.4882667830378404</v>
      </c>
      <c r="H38" s="175">
        <f t="shared" si="12"/>
        <v>1.3110744801734484</v>
      </c>
      <c r="I38" s="3"/>
      <c r="J38">
        <f t="shared" si="13"/>
        <v>0.89022225011699851</v>
      </c>
      <c r="K38" s="6">
        <f t="shared" si="14"/>
        <v>1.6192226014450506</v>
      </c>
      <c r="L38">
        <f t="shared" si="15"/>
        <v>1.3949754568756489</v>
      </c>
      <c r="M38">
        <f t="shared" si="19"/>
        <v>1.5942595113483002</v>
      </c>
      <c r="N38">
        <f t="shared" si="20"/>
        <v>0.79448201001828656</v>
      </c>
      <c r="O38" s="163">
        <f t="shared" si="16"/>
        <v>0.11006428134535853</v>
      </c>
      <c r="P38" s="170">
        <f t="shared" ref="P38:P58" si="21">ASIN(COS($K$21)*SIN($D38)/COS($J38))</f>
        <v>1.3949754568756489</v>
      </c>
      <c r="Q38" s="170">
        <f t="shared" si="17"/>
        <v>29.842665371788534</v>
      </c>
      <c r="R38" s="170">
        <f t="shared" si="2"/>
        <v>4879</v>
      </c>
      <c r="S38" s="251">
        <f>S37+10</f>
        <v>41405</v>
      </c>
      <c r="T38" s="198">
        <v>17.862726700758522</v>
      </c>
      <c r="U38" s="199">
        <v>3.6272728222115367</v>
      </c>
      <c r="AM38" s="2"/>
    </row>
    <row r="39" spans="1:39">
      <c r="A39" s="132">
        <f t="shared" ref="A39:A58" si="22">IF($A38+$A$26&gt;$E$22,$A38,$A38+$A$26)</f>
        <v>16</v>
      </c>
      <c r="B39" s="18">
        <f t="shared" si="18"/>
        <v>0.67999999999999994</v>
      </c>
      <c r="C39" s="3">
        <f t="shared" si="7"/>
        <v>55.2</v>
      </c>
      <c r="D39" s="3">
        <f t="shared" si="8"/>
        <v>0.96342174710086992</v>
      </c>
      <c r="E39" s="53">
        <f t="shared" si="9"/>
        <v>1.6422984182674081</v>
      </c>
      <c r="F39" s="53">
        <f t="shared" si="10"/>
        <v>0.55337485603704306</v>
      </c>
      <c r="G39" s="174">
        <f t="shared" si="11"/>
        <v>1.7330227424755997</v>
      </c>
      <c r="H39" s="175">
        <f t="shared" si="12"/>
        <v>1.6942265144408755</v>
      </c>
      <c r="I39" s="3"/>
      <c r="J39">
        <f t="shared" si="13"/>
        <v>0.6625371829080301</v>
      </c>
      <c r="K39" s="6">
        <f t="shared" si="14"/>
        <v>2.5635163424175218</v>
      </c>
      <c r="L39">
        <f t="shared" si="15"/>
        <v>1.545154080769831</v>
      </c>
      <c r="M39">
        <f t="shared" si="19"/>
        <v>2.5626736008349078</v>
      </c>
      <c r="N39">
        <f t="shared" si="20"/>
        <v>0.57698051689959895</v>
      </c>
      <c r="O39" s="163">
        <f t="shared" si="16"/>
        <v>2.0215005707730077E-2</v>
      </c>
      <c r="P39" s="170">
        <f t="shared" si="21"/>
        <v>1.545154080769831</v>
      </c>
      <c r="Q39" s="170">
        <f t="shared" si="17"/>
        <v>18.621319116385617</v>
      </c>
      <c r="R39" s="170">
        <f t="shared" si="2"/>
        <v>4889</v>
      </c>
      <c r="S39" s="251">
        <f>S38+10</f>
        <v>41415</v>
      </c>
      <c r="T39" s="198">
        <v>20.170334027008334</v>
      </c>
      <c r="U39" s="199">
        <v>3.4351968808023741</v>
      </c>
      <c r="AM39" s="2"/>
    </row>
    <row r="40" spans="1:39">
      <c r="A40" s="132">
        <f t="shared" si="22"/>
        <v>17</v>
      </c>
      <c r="B40" s="18">
        <f t="shared" si="18"/>
        <v>0.72166666666666668</v>
      </c>
      <c r="C40" s="3">
        <f t="shared" si="7"/>
        <v>70.2</v>
      </c>
      <c r="D40" s="3">
        <f t="shared" si="8"/>
        <v>1.2252211349000195</v>
      </c>
      <c r="E40" s="53">
        <f t="shared" si="9"/>
        <v>1.8817615379084511</v>
      </c>
      <c r="F40" s="53">
        <f t="shared" si="10"/>
        <v>0.32844680495430739</v>
      </c>
      <c r="G40" s="174">
        <f t="shared" si="11"/>
        <v>1.9102104044414248</v>
      </c>
      <c r="H40" s="175">
        <f t="shared" si="12"/>
        <v>1.9879961211344905</v>
      </c>
      <c r="I40" s="3"/>
      <c r="J40">
        <f t="shared" ref="J40:J58" si="23">ASIN($J$12+($K$12*COS($D40)))</f>
        <v>0.43385976865332665</v>
      </c>
      <c r="K40" s="6">
        <f t="shared" si="14"/>
        <v>4.3168485946021651</v>
      </c>
      <c r="L40">
        <f t="shared" si="15"/>
        <v>1.6676389679065153</v>
      </c>
      <c r="M40">
        <f t="shared" si="19"/>
        <v>4.2966216341316672</v>
      </c>
      <c r="N40">
        <f t="shared" si="20"/>
        <v>9.3851532678754568E-2</v>
      </c>
      <c r="O40" s="163">
        <f t="shared" si="16"/>
        <v>-8.7732882388389305E-2</v>
      </c>
      <c r="P40" s="170">
        <f t="shared" si="21"/>
        <v>1.4739536856832778</v>
      </c>
      <c r="Q40" s="170">
        <f t="shared" si="17"/>
        <v>9.9007931307965098</v>
      </c>
      <c r="R40" s="170">
        <f t="shared" si="2"/>
        <v>4900</v>
      </c>
      <c r="S40" s="251">
        <f>S39+11</f>
        <v>41426</v>
      </c>
      <c r="T40" s="198">
        <v>22.043721288410179</v>
      </c>
      <c r="U40" s="199">
        <v>2.2161906296617095</v>
      </c>
      <c r="AM40" s="2"/>
    </row>
    <row r="41" spans="1:39">
      <c r="A41" s="132">
        <f t="shared" si="22"/>
        <v>18</v>
      </c>
      <c r="B41" s="18">
        <f t="shared" si="18"/>
        <v>0.76333333333333331</v>
      </c>
      <c r="C41" s="3">
        <f t="shared" si="7"/>
        <v>85.2</v>
      </c>
      <c r="D41" s="3">
        <f t="shared" si="8"/>
        <v>1.4870205226991688</v>
      </c>
      <c r="E41" s="53">
        <f>IF(A41&gt;0,SIN($D41)*$C$15,F40)</f>
        <v>1.9929857184990087</v>
      </c>
      <c r="F41" s="53">
        <f t="shared" si="10"/>
        <v>8.1135646897944683E-2</v>
      </c>
      <c r="G41" s="174">
        <f t="shared" si="11"/>
        <v>1.9946365752533863</v>
      </c>
      <c r="H41" s="175">
        <f t="shared" si="12"/>
        <v>2.1820621371143432</v>
      </c>
      <c r="I41" s="3"/>
      <c r="J41">
        <f t="shared" si="23"/>
        <v>0.20774468435194043</v>
      </c>
      <c r="K41" s="6">
        <f t="shared" si="14"/>
        <v>9.4883052223185604</v>
      </c>
      <c r="L41">
        <f t="shared" si="15"/>
        <v>1.7833520875101148</v>
      </c>
      <c r="M41">
        <f t="shared" si="19"/>
        <v>9.2747704149343679</v>
      </c>
      <c r="N41">
        <f t="shared" si="20"/>
        <v>-1.4903883581103345</v>
      </c>
      <c r="O41" s="163">
        <f t="shared" si="16"/>
        <v>-0.2064229127615686</v>
      </c>
      <c r="P41" s="170">
        <f t="shared" si="21"/>
        <v>1.3582405660796784</v>
      </c>
      <c r="Q41" s="170">
        <f t="shared" si="17"/>
        <v>2.3312582961924506</v>
      </c>
      <c r="R41" s="170">
        <f t="shared" si="2"/>
        <v>4910</v>
      </c>
      <c r="S41" s="251">
        <f>S40+10</f>
        <v>41436</v>
      </c>
      <c r="T41" s="198">
        <v>23.078330473825844</v>
      </c>
      <c r="U41" s="199">
        <v>0.41772003944053299</v>
      </c>
      <c r="AM41" s="2"/>
    </row>
    <row r="42" spans="1:39">
      <c r="A42" s="132">
        <f t="shared" si="22"/>
        <v>19</v>
      </c>
      <c r="B42" s="18">
        <f t="shared" si="18"/>
        <v>0.80499999999999994</v>
      </c>
      <c r="C42" s="3">
        <f t="shared" si="7"/>
        <v>100.2</v>
      </c>
      <c r="D42" s="3">
        <f t="shared" si="8"/>
        <v>1.7488199104983182</v>
      </c>
      <c r="E42" s="53">
        <f>IF(A42&gt;0,SIN($D42)*$C$15,F41)</f>
        <v>1.968391215938484</v>
      </c>
      <c r="F42" s="53">
        <f>IF($A42&gt;0,COS($D42)*$C$16,"")</f>
        <v>-0.17170477141151677</v>
      </c>
      <c r="G42" s="174">
        <f t="shared" si="11"/>
        <v>1.9758660145640607</v>
      </c>
      <c r="H42" s="175">
        <f t="shared" si="12"/>
        <v>2.2753427168523124</v>
      </c>
      <c r="I42" s="3"/>
      <c r="J42">
        <f t="shared" si="23"/>
        <v>-1.265646194192402E-2</v>
      </c>
      <c r="K42" s="6">
        <f t="shared" si="14"/>
        <v>-158.0136073849412</v>
      </c>
      <c r="L42">
        <f t="shared" si="15"/>
        <v>1.9047626819314976</v>
      </c>
      <c r="M42">
        <f t="shared" si="19"/>
        <v>9.2747704149343679</v>
      </c>
      <c r="N42">
        <f t="shared" si="20"/>
        <v>-1.4903883581103345</v>
      </c>
      <c r="O42" s="163">
        <f t="shared" si="16"/>
        <v>-0.32776655598642501</v>
      </c>
      <c r="P42" s="170">
        <f t="shared" si="21"/>
        <v>1.2368299716582956</v>
      </c>
      <c r="Q42" s="170">
        <f t="shared" si="17"/>
        <v>-4.9853498579968196</v>
      </c>
      <c r="R42" s="170">
        <f t="shared" si="2"/>
        <v>4920</v>
      </c>
      <c r="S42" s="251">
        <f>S41+10</f>
        <v>41446</v>
      </c>
      <c r="T42" s="198">
        <v>23.437632581355025</v>
      </c>
      <c r="U42" s="199">
        <v>-1.7115994972921671</v>
      </c>
      <c r="AM42" s="2"/>
    </row>
    <row r="43" spans="1:39">
      <c r="A43" s="132">
        <f t="shared" si="22"/>
        <v>20</v>
      </c>
      <c r="B43" s="18">
        <f t="shared" si="18"/>
        <v>0.84666666666666668</v>
      </c>
      <c r="C43" s="3">
        <f t="shared" si="7"/>
        <v>115.2</v>
      </c>
      <c r="D43" s="3">
        <f t="shared" si="8"/>
        <v>2.0106192982974678</v>
      </c>
      <c r="E43" s="53">
        <f t="shared" ref="E43:E58" si="24">IF(A43&gt;0,SIN($D43)*$C$15,F42)</f>
        <v>1.8096541049320389</v>
      </c>
      <c r="F43" s="53">
        <f t="shared" ref="F43:F58" si="25">IF($A43&gt;0,COS($D43)*$C$16,"")</f>
        <v>-0.41284379330483473</v>
      </c>
      <c r="G43" s="174">
        <f t="shared" si="11"/>
        <v>1.8561486947892143</v>
      </c>
      <c r="H43" s="175">
        <f t="shared" si="12"/>
        <v>2.2772904995441383</v>
      </c>
      <c r="I43" s="3"/>
      <c r="J43">
        <f>ASIN($J$12+($K$12*COS($D43)))</f>
        <v>-0.22328550907251421</v>
      </c>
      <c r="K43" s="6">
        <f t="shared" si="14"/>
        <v>-8.8077878171449626</v>
      </c>
      <c r="L43">
        <f>IF($O43&gt;0,$P43,PI()-$P43)</f>
        <v>2.0429264199727251</v>
      </c>
      <c r="M43">
        <f t="shared" si="19"/>
        <v>9.2747704149343679</v>
      </c>
      <c r="N43">
        <f t="shared" si="20"/>
        <v>-1.4903883581103345</v>
      </c>
      <c r="O43" s="163">
        <f t="shared" si="16"/>
        <v>-0.44349444330703636</v>
      </c>
      <c r="P43" s="170">
        <f t="shared" si="21"/>
        <v>1.0986662336170681</v>
      </c>
      <c r="Q43" s="170">
        <f t="shared" si="17"/>
        <v>-12.851185804945645</v>
      </c>
      <c r="R43" s="170">
        <f t="shared" si="2"/>
        <v>4930</v>
      </c>
      <c r="S43" s="251">
        <f>S42+10</f>
        <v>41456</v>
      </c>
      <c r="T43" s="198">
        <v>23.110180753851164</v>
      </c>
      <c r="U43" s="199">
        <v>-3.7967241644973555</v>
      </c>
      <c r="AM43" s="2"/>
    </row>
    <row r="44" spans="1:39">
      <c r="A44" s="132">
        <f t="shared" si="22"/>
        <v>20</v>
      </c>
      <c r="B44" s="18">
        <f t="shared" si="18"/>
        <v>0.84666666666666668</v>
      </c>
      <c r="C44" s="3">
        <f t="shared" si="7"/>
        <v>115.2</v>
      </c>
      <c r="D44" s="3">
        <f t="shared" si="8"/>
        <v>2.0106192982974678</v>
      </c>
      <c r="E44" s="53">
        <f t="shared" si="24"/>
        <v>1.8096541049320389</v>
      </c>
      <c r="F44" s="53">
        <f t="shared" si="25"/>
        <v>-0.41284379330483473</v>
      </c>
      <c r="G44" s="174">
        <f t="shared" si="11"/>
        <v>1.8561486947892143</v>
      </c>
      <c r="H44" s="175">
        <f t="shared" si="12"/>
        <v>2.2772904995441383</v>
      </c>
      <c r="I44" s="3"/>
      <c r="J44">
        <f t="shared" si="23"/>
        <v>-0.22328550907251421</v>
      </c>
      <c r="K44" s="6">
        <f t="shared" si="14"/>
        <v>-8.8077878171449626</v>
      </c>
      <c r="L44">
        <f t="shared" si="15"/>
        <v>2.0429264199727251</v>
      </c>
      <c r="M44">
        <f t="shared" si="19"/>
        <v>9.2747704149343679</v>
      </c>
      <c r="N44">
        <f t="shared" si="20"/>
        <v>-1.4903883581103345</v>
      </c>
      <c r="O44" s="163">
        <f t="shared" si="16"/>
        <v>-0.44349444330703636</v>
      </c>
      <c r="P44" s="170">
        <f t="shared" si="21"/>
        <v>1.0986662336170681</v>
      </c>
      <c r="Q44" s="170">
        <f t="shared" si="17"/>
        <v>-12.851185804945645</v>
      </c>
      <c r="R44" s="170">
        <f t="shared" si="2"/>
        <v>4940</v>
      </c>
      <c r="S44" s="251">
        <f>S43+10</f>
        <v>41466</v>
      </c>
      <c r="T44" s="198">
        <v>22.11128794367195</v>
      </c>
      <c r="U44" s="199">
        <v>-5.4654330914439413</v>
      </c>
      <c r="AM44" s="2"/>
    </row>
    <row r="45" spans="1:39">
      <c r="A45" s="132">
        <f t="shared" si="22"/>
        <v>20</v>
      </c>
      <c r="B45" s="18">
        <f t="shared" si="18"/>
        <v>0.84666666666666668</v>
      </c>
      <c r="C45" s="3">
        <f t="shared" si="7"/>
        <v>115.2</v>
      </c>
      <c r="D45" s="3">
        <f t="shared" si="8"/>
        <v>2.0106192982974678</v>
      </c>
      <c r="E45" s="53">
        <f t="shared" si="24"/>
        <v>1.8096541049320389</v>
      </c>
      <c r="F45" s="53">
        <f t="shared" si="25"/>
        <v>-0.41284379330483473</v>
      </c>
      <c r="G45" s="174">
        <f t="shared" si="11"/>
        <v>1.8561486947892143</v>
      </c>
      <c r="H45" s="175">
        <f t="shared" si="12"/>
        <v>2.2772904995441383</v>
      </c>
      <c r="I45" s="3"/>
      <c r="J45">
        <f t="shared" si="23"/>
        <v>-0.22328550907251421</v>
      </c>
      <c r="K45" s="6">
        <f t="shared" si="14"/>
        <v>-8.8077878171449626</v>
      </c>
      <c r="L45">
        <f t="shared" si="15"/>
        <v>2.0429264199727251</v>
      </c>
      <c r="M45">
        <f t="shared" si="19"/>
        <v>9.2747704149343679</v>
      </c>
      <c r="N45">
        <f t="shared" si="20"/>
        <v>-1.4903883581103345</v>
      </c>
      <c r="O45" s="163">
        <f t="shared" si="16"/>
        <v>-0.44349444330703636</v>
      </c>
      <c r="P45" s="170">
        <f t="shared" si="21"/>
        <v>1.0986662336170681</v>
      </c>
      <c r="Q45" s="170">
        <f t="shared" si="17"/>
        <v>-12.851185804945645</v>
      </c>
      <c r="R45" s="170">
        <f t="shared" si="2"/>
        <v>4950</v>
      </c>
      <c r="S45" s="251">
        <f>S44+10</f>
        <v>41476</v>
      </c>
      <c r="T45" s="198">
        <v>20.480977595507181</v>
      </c>
      <c r="U45" s="199">
        <v>-6.4067361706608041</v>
      </c>
      <c r="AM45" s="2"/>
    </row>
    <row r="46" spans="1:39">
      <c r="A46" s="132">
        <f t="shared" si="22"/>
        <v>20</v>
      </c>
      <c r="B46" s="18">
        <f t="shared" si="18"/>
        <v>0.84666666666666668</v>
      </c>
      <c r="C46" s="3">
        <f t="shared" si="7"/>
        <v>115.2</v>
      </c>
      <c r="D46" s="3">
        <f t="shared" si="8"/>
        <v>2.0106192982974678</v>
      </c>
      <c r="E46" s="53">
        <f t="shared" si="24"/>
        <v>1.8096541049320389</v>
      </c>
      <c r="F46" s="53">
        <f t="shared" si="25"/>
        <v>-0.41284379330483473</v>
      </c>
      <c r="G46" s="174">
        <f t="shared" si="11"/>
        <v>1.8561486947892143</v>
      </c>
      <c r="H46" s="175">
        <f t="shared" si="12"/>
        <v>2.2772904995441383</v>
      </c>
      <c r="I46" s="3"/>
      <c r="J46">
        <f t="shared" si="23"/>
        <v>-0.22328550907251421</v>
      </c>
      <c r="K46" s="6">
        <f t="shared" si="14"/>
        <v>-8.8077878171449626</v>
      </c>
      <c r="L46">
        <f t="shared" si="15"/>
        <v>2.0429264199727251</v>
      </c>
      <c r="M46">
        <f t="shared" si="19"/>
        <v>9.2747704149343679</v>
      </c>
      <c r="N46">
        <f t="shared" si="20"/>
        <v>-1.4903883581103345</v>
      </c>
      <c r="O46" s="163">
        <f t="shared" si="16"/>
        <v>-0.44349444330703636</v>
      </c>
      <c r="P46" s="170">
        <f t="shared" si="21"/>
        <v>1.0986662336170681</v>
      </c>
      <c r="Q46" s="170">
        <f t="shared" si="17"/>
        <v>-12.851185804945645</v>
      </c>
      <c r="R46" s="170">
        <f t="shared" si="2"/>
        <v>4961</v>
      </c>
      <c r="S46" s="251">
        <f>S45+11</f>
        <v>41487</v>
      </c>
      <c r="T46" s="198">
        <v>18.03038029206709</v>
      </c>
      <c r="U46" s="199">
        <v>-6.3614039658966863</v>
      </c>
      <c r="AM46" s="2"/>
    </row>
    <row r="47" spans="1:39">
      <c r="A47" s="132">
        <f t="shared" si="22"/>
        <v>20</v>
      </c>
      <c r="B47" s="18">
        <f t="shared" si="18"/>
        <v>0.84666666666666668</v>
      </c>
      <c r="C47" s="3">
        <f t="shared" si="7"/>
        <v>115.2</v>
      </c>
      <c r="D47" s="3">
        <f t="shared" si="8"/>
        <v>2.0106192982974678</v>
      </c>
      <c r="E47" s="53">
        <f t="shared" si="24"/>
        <v>1.8096541049320389</v>
      </c>
      <c r="F47" s="53">
        <f t="shared" si="25"/>
        <v>-0.41284379330483473</v>
      </c>
      <c r="G47" s="174">
        <f t="shared" si="11"/>
        <v>1.8561486947892143</v>
      </c>
      <c r="H47" s="175">
        <f t="shared" si="12"/>
        <v>2.2772904995441383</v>
      </c>
      <c r="I47" s="3"/>
      <c r="J47">
        <f t="shared" si="23"/>
        <v>-0.22328550907251421</v>
      </c>
      <c r="K47" s="6">
        <f t="shared" si="14"/>
        <v>-8.8077878171449626</v>
      </c>
      <c r="L47">
        <f t="shared" si="15"/>
        <v>2.0429264199727251</v>
      </c>
      <c r="M47">
        <f t="shared" si="19"/>
        <v>9.2747704149343679</v>
      </c>
      <c r="N47">
        <f t="shared" si="20"/>
        <v>-1.4903883581103345</v>
      </c>
      <c r="O47" s="163">
        <f t="shared" si="16"/>
        <v>-0.44349444330703636</v>
      </c>
      <c r="P47" s="170">
        <f t="shared" si="21"/>
        <v>1.0986662336170681</v>
      </c>
      <c r="Q47" s="170">
        <f t="shared" si="17"/>
        <v>-12.851185804945645</v>
      </c>
      <c r="R47" s="170">
        <f t="shared" si="2"/>
        <v>4971</v>
      </c>
      <c r="S47" s="251">
        <f>S46+10</f>
        <v>41497</v>
      </c>
      <c r="T47" s="198">
        <v>15.285844612056914</v>
      </c>
      <c r="U47" s="199">
        <v>-5.2630491632105132</v>
      </c>
      <c r="AM47" s="2"/>
    </row>
    <row r="48" spans="1:39">
      <c r="A48" s="132">
        <f t="shared" si="22"/>
        <v>20</v>
      </c>
      <c r="B48" s="18">
        <f t="shared" si="18"/>
        <v>0.84666666666666668</v>
      </c>
      <c r="C48" s="3">
        <f t="shared" si="7"/>
        <v>115.2</v>
      </c>
      <c r="D48" s="3">
        <f t="shared" si="8"/>
        <v>2.0106192982974678</v>
      </c>
      <c r="E48" s="53">
        <f t="shared" si="24"/>
        <v>1.8096541049320389</v>
      </c>
      <c r="F48" s="53">
        <f t="shared" si="25"/>
        <v>-0.41284379330483473</v>
      </c>
      <c r="G48" s="174">
        <f t="shared" si="11"/>
        <v>1.8561486947892143</v>
      </c>
      <c r="H48" s="175">
        <f t="shared" si="12"/>
        <v>2.2772904995441383</v>
      </c>
      <c r="I48" s="3"/>
      <c r="J48">
        <f t="shared" si="23"/>
        <v>-0.22328550907251421</v>
      </c>
      <c r="K48" s="6">
        <f t="shared" si="14"/>
        <v>-8.8077878171449626</v>
      </c>
      <c r="L48">
        <f t="shared" si="15"/>
        <v>2.0429264199727251</v>
      </c>
      <c r="M48">
        <f t="shared" si="19"/>
        <v>9.2747704149343679</v>
      </c>
      <c r="N48">
        <f t="shared" si="20"/>
        <v>-1.4903883581103345</v>
      </c>
      <c r="O48" s="163">
        <f t="shared" si="16"/>
        <v>-0.44349444330703636</v>
      </c>
      <c r="P48" s="170">
        <f t="shared" si="21"/>
        <v>1.0986662336170681</v>
      </c>
      <c r="Q48" s="170">
        <f t="shared" si="17"/>
        <v>-12.851185804945645</v>
      </c>
      <c r="R48" s="170">
        <f t="shared" si="2"/>
        <v>4981</v>
      </c>
      <c r="S48" s="251">
        <f>S47+10</f>
        <v>41507</v>
      </c>
      <c r="T48" s="198">
        <v>12.134749138417925</v>
      </c>
      <c r="U48" s="199">
        <v>-3.222545045970691</v>
      </c>
      <c r="AM48" s="2"/>
    </row>
    <row r="49" spans="1:39">
      <c r="A49" s="132">
        <f t="shared" si="22"/>
        <v>20</v>
      </c>
      <c r="B49" s="18">
        <f t="shared" si="18"/>
        <v>0.84666666666666668</v>
      </c>
      <c r="C49" s="3">
        <f t="shared" si="7"/>
        <v>115.2</v>
      </c>
      <c r="D49" s="3">
        <f t="shared" si="8"/>
        <v>2.0106192982974678</v>
      </c>
      <c r="E49" s="53">
        <f t="shared" si="24"/>
        <v>1.8096541049320389</v>
      </c>
      <c r="F49" s="53">
        <f t="shared" si="25"/>
        <v>-0.41284379330483473</v>
      </c>
      <c r="G49" s="174">
        <f t="shared" si="11"/>
        <v>1.8561486947892143</v>
      </c>
      <c r="H49" s="175">
        <f t="shared" si="12"/>
        <v>2.2772904995441383</v>
      </c>
      <c r="I49" s="3"/>
      <c r="J49">
        <f t="shared" si="23"/>
        <v>-0.22328550907251421</v>
      </c>
      <c r="K49" s="6">
        <f t="shared" si="14"/>
        <v>-8.8077878171449626</v>
      </c>
      <c r="L49">
        <f t="shared" si="15"/>
        <v>2.0429264199727251</v>
      </c>
      <c r="M49">
        <f t="shared" si="19"/>
        <v>9.2747704149343679</v>
      </c>
      <c r="N49">
        <f t="shared" si="20"/>
        <v>-1.4903883581103345</v>
      </c>
      <c r="O49" s="163">
        <f t="shared" si="16"/>
        <v>-0.44349444330703636</v>
      </c>
      <c r="P49" s="170">
        <f t="shared" si="21"/>
        <v>1.0986662336170681</v>
      </c>
      <c r="Q49" s="170">
        <f t="shared" si="17"/>
        <v>-12.851185804945645</v>
      </c>
      <c r="R49" s="170">
        <f t="shared" si="2"/>
        <v>4992</v>
      </c>
      <c r="S49" s="251">
        <f>S48+11</f>
        <v>41518</v>
      </c>
      <c r="T49" s="198">
        <v>8.3027877148934319</v>
      </c>
      <c r="U49" s="199">
        <v>-9.8611697922150632E-2</v>
      </c>
      <c r="AM49" s="2"/>
    </row>
    <row r="50" spans="1:39">
      <c r="A50" s="132">
        <f t="shared" si="22"/>
        <v>20</v>
      </c>
      <c r="B50" s="18">
        <f t="shared" si="18"/>
        <v>0.84666666666666668</v>
      </c>
      <c r="C50" s="3">
        <f t="shared" si="7"/>
        <v>115.2</v>
      </c>
      <c r="D50" s="3">
        <f t="shared" si="8"/>
        <v>2.0106192982974678</v>
      </c>
      <c r="E50" s="53">
        <f t="shared" si="24"/>
        <v>1.8096541049320389</v>
      </c>
      <c r="F50" s="53">
        <f t="shared" si="25"/>
        <v>-0.41284379330483473</v>
      </c>
      <c r="G50" s="174">
        <f t="shared" si="11"/>
        <v>1.8561486947892143</v>
      </c>
      <c r="H50" s="175">
        <f t="shared" si="12"/>
        <v>2.2772904995441383</v>
      </c>
      <c r="I50" s="3"/>
      <c r="J50">
        <f t="shared" si="23"/>
        <v>-0.22328550907251421</v>
      </c>
      <c r="K50" s="6">
        <f t="shared" si="14"/>
        <v>-8.8077878171449626</v>
      </c>
      <c r="L50">
        <f t="shared" si="15"/>
        <v>2.0429264199727251</v>
      </c>
      <c r="M50">
        <f t="shared" si="19"/>
        <v>9.2747704149343679</v>
      </c>
      <c r="N50">
        <f t="shared" si="20"/>
        <v>-1.4903883581103345</v>
      </c>
      <c r="O50" s="163">
        <f t="shared" si="16"/>
        <v>-0.44349444330703636</v>
      </c>
      <c r="P50" s="170">
        <f t="shared" si="21"/>
        <v>1.0986662336170681</v>
      </c>
      <c r="Q50" s="170">
        <f t="shared" si="17"/>
        <v>-12.851185804945645</v>
      </c>
      <c r="R50" s="170">
        <f t="shared" si="2"/>
        <v>5002</v>
      </c>
      <c r="S50" s="251">
        <f>S49+10</f>
        <v>41528</v>
      </c>
      <c r="T50" s="198">
        <v>4.5830732952182105</v>
      </c>
      <c r="U50" s="199">
        <v>3.2660129708167638</v>
      </c>
      <c r="AM50" s="2"/>
    </row>
    <row r="51" spans="1:39">
      <c r="A51" s="132">
        <f t="shared" si="22"/>
        <v>20</v>
      </c>
      <c r="B51" s="18">
        <f t="shared" si="18"/>
        <v>0.84666666666666668</v>
      </c>
      <c r="C51" s="3">
        <f t="shared" si="7"/>
        <v>115.2</v>
      </c>
      <c r="D51" s="3">
        <f t="shared" si="8"/>
        <v>2.0106192982974678</v>
      </c>
      <c r="E51" s="53">
        <f t="shared" si="24"/>
        <v>1.8096541049320389</v>
      </c>
      <c r="F51" s="53">
        <f t="shared" si="25"/>
        <v>-0.41284379330483473</v>
      </c>
      <c r="G51" s="174">
        <f t="shared" si="11"/>
        <v>1.8561486947892143</v>
      </c>
      <c r="H51" s="175">
        <f t="shared" si="12"/>
        <v>2.2772904995441383</v>
      </c>
      <c r="I51" s="3"/>
      <c r="J51">
        <f t="shared" si="23"/>
        <v>-0.22328550907251421</v>
      </c>
      <c r="K51" s="6">
        <f t="shared" si="14"/>
        <v>-8.8077878171449626</v>
      </c>
      <c r="L51">
        <f t="shared" si="15"/>
        <v>2.0429264199727251</v>
      </c>
      <c r="M51">
        <f t="shared" si="19"/>
        <v>9.2747704149343679</v>
      </c>
      <c r="N51">
        <f t="shared" si="20"/>
        <v>-1.4903883581103345</v>
      </c>
      <c r="O51" s="163">
        <f t="shared" si="16"/>
        <v>-0.44349444330703636</v>
      </c>
      <c r="P51" s="170">
        <f t="shared" si="21"/>
        <v>1.0986662336170681</v>
      </c>
      <c r="Q51" s="170">
        <f t="shared" si="17"/>
        <v>-12.851185804945645</v>
      </c>
      <c r="R51" s="170">
        <f t="shared" si="2"/>
        <v>5012</v>
      </c>
      <c r="S51" s="251">
        <f>S50+10</f>
        <v>41538</v>
      </c>
      <c r="T51" s="198">
        <v>0.73174849583653812</v>
      </c>
      <c r="U51" s="199">
        <v>6.8188191126088666</v>
      </c>
      <c r="AM51" s="2"/>
    </row>
    <row r="52" spans="1:39">
      <c r="A52" s="132">
        <f t="shared" si="22"/>
        <v>20</v>
      </c>
      <c r="B52" s="18">
        <f t="shared" si="18"/>
        <v>0.84666666666666668</v>
      </c>
      <c r="C52" s="3">
        <f t="shared" si="7"/>
        <v>115.2</v>
      </c>
      <c r="D52" s="3">
        <f t="shared" si="8"/>
        <v>2.0106192982974678</v>
      </c>
      <c r="E52" s="53">
        <f t="shared" si="24"/>
        <v>1.8096541049320389</v>
      </c>
      <c r="F52" s="53">
        <f t="shared" si="25"/>
        <v>-0.41284379330483473</v>
      </c>
      <c r="G52" s="174">
        <f t="shared" si="11"/>
        <v>1.8561486947892143</v>
      </c>
      <c r="H52" s="175">
        <f t="shared" si="12"/>
        <v>2.2772904995441383</v>
      </c>
      <c r="I52" s="3"/>
      <c r="J52">
        <f t="shared" si="23"/>
        <v>-0.22328550907251421</v>
      </c>
      <c r="K52" s="6">
        <f t="shared" si="14"/>
        <v>-8.8077878171449626</v>
      </c>
      <c r="L52">
        <f t="shared" si="15"/>
        <v>2.0429264199727251</v>
      </c>
      <c r="M52">
        <f t="shared" si="19"/>
        <v>9.2747704149343679</v>
      </c>
      <c r="N52">
        <f t="shared" si="20"/>
        <v>-1.4903883581103345</v>
      </c>
      <c r="O52" s="163">
        <f t="shared" si="16"/>
        <v>-0.44349444330703636</v>
      </c>
      <c r="P52" s="170">
        <f t="shared" si="21"/>
        <v>1.0986662336170681</v>
      </c>
      <c r="Q52" s="170">
        <f t="shared" si="17"/>
        <v>-12.851185804945645</v>
      </c>
      <c r="R52" s="170">
        <f t="shared" si="2"/>
        <v>5022</v>
      </c>
      <c r="S52" s="251">
        <f>S51+10</f>
        <v>41548</v>
      </c>
      <c r="T52" s="198">
        <v>-3.1587419195866189</v>
      </c>
      <c r="U52" s="199">
        <v>10.233283739901765</v>
      </c>
      <c r="AM52" s="2"/>
    </row>
    <row r="53" spans="1:39">
      <c r="A53" s="132">
        <f t="shared" si="22"/>
        <v>20</v>
      </c>
      <c r="B53" s="18">
        <f t="shared" si="18"/>
        <v>0.84666666666666668</v>
      </c>
      <c r="C53" s="3">
        <f t="shared" si="7"/>
        <v>115.2</v>
      </c>
      <c r="D53" s="3">
        <f t="shared" si="8"/>
        <v>2.0106192982974678</v>
      </c>
      <c r="E53" s="53">
        <f t="shared" si="24"/>
        <v>1.8096541049320389</v>
      </c>
      <c r="F53" s="53">
        <f t="shared" si="25"/>
        <v>-0.41284379330483473</v>
      </c>
      <c r="G53" s="174">
        <f t="shared" si="11"/>
        <v>1.8561486947892143</v>
      </c>
      <c r="H53" s="175">
        <f t="shared" si="12"/>
        <v>2.2772904995441383</v>
      </c>
      <c r="I53" s="3"/>
      <c r="J53">
        <f t="shared" si="23"/>
        <v>-0.22328550907251421</v>
      </c>
      <c r="K53" s="6">
        <f t="shared" si="14"/>
        <v>-8.8077878171449626</v>
      </c>
      <c r="L53">
        <f t="shared" si="15"/>
        <v>2.0429264199727251</v>
      </c>
      <c r="M53">
        <f t="shared" si="19"/>
        <v>9.2747704149343679</v>
      </c>
      <c r="N53">
        <f t="shared" si="20"/>
        <v>-1.4903883581103345</v>
      </c>
      <c r="O53" s="163">
        <f t="shared" si="16"/>
        <v>-0.44349444330703636</v>
      </c>
      <c r="P53" s="170">
        <f t="shared" si="21"/>
        <v>1.0986662336170681</v>
      </c>
      <c r="Q53" s="170">
        <f t="shared" si="17"/>
        <v>-12.851185804945645</v>
      </c>
      <c r="R53" s="170">
        <f t="shared" si="2"/>
        <v>5032</v>
      </c>
      <c r="S53" s="251">
        <f>S52+10</f>
        <v>41558</v>
      </c>
      <c r="T53" s="198">
        <v>-6.9924332136598597</v>
      </c>
      <c r="U53" s="199">
        <v>13.175066999232685</v>
      </c>
      <c r="AM53" s="2"/>
    </row>
    <row r="54" spans="1:39">
      <c r="A54" s="132">
        <f t="shared" si="22"/>
        <v>20</v>
      </c>
      <c r="B54" s="18">
        <f t="shared" si="18"/>
        <v>0.84666666666666668</v>
      </c>
      <c r="C54" s="3">
        <f t="shared" si="7"/>
        <v>115.2</v>
      </c>
      <c r="D54" s="3">
        <f t="shared" si="8"/>
        <v>2.0106192982974678</v>
      </c>
      <c r="E54" s="53">
        <f t="shared" si="24"/>
        <v>1.8096541049320389</v>
      </c>
      <c r="F54" s="53">
        <f t="shared" si="25"/>
        <v>-0.41284379330483473</v>
      </c>
      <c r="G54" s="174">
        <f t="shared" si="11"/>
        <v>1.8561486947892143</v>
      </c>
      <c r="H54" s="175">
        <f t="shared" si="12"/>
        <v>2.2772904995441383</v>
      </c>
      <c r="I54" s="3"/>
      <c r="J54">
        <f t="shared" si="23"/>
        <v>-0.22328550907251421</v>
      </c>
      <c r="K54" s="6">
        <f t="shared" si="14"/>
        <v>-8.8077878171449626</v>
      </c>
      <c r="L54">
        <f t="shared" si="15"/>
        <v>2.0429264199727251</v>
      </c>
      <c r="M54">
        <f t="shared" si="19"/>
        <v>9.2747704149343679</v>
      </c>
      <c r="N54">
        <f t="shared" si="20"/>
        <v>-1.4903883581103345</v>
      </c>
      <c r="O54" s="163">
        <f t="shared" si="16"/>
        <v>-0.44349444330703636</v>
      </c>
      <c r="P54" s="170">
        <f t="shared" si="21"/>
        <v>1.0986662336170681</v>
      </c>
      <c r="Q54" s="170">
        <f t="shared" si="17"/>
        <v>-12.851185804945645</v>
      </c>
      <c r="R54" s="170">
        <f t="shared" si="2"/>
        <v>5042</v>
      </c>
      <c r="S54" s="251">
        <f>S53+10</f>
        <v>41568</v>
      </c>
      <c r="T54" s="198">
        <v>-10.668513311486565</v>
      </c>
      <c r="U54" s="199">
        <v>15.318775261550705</v>
      </c>
      <c r="AM54" s="2"/>
    </row>
    <row r="55" spans="1:39">
      <c r="A55" s="132">
        <f t="shared" si="22"/>
        <v>20</v>
      </c>
      <c r="B55" s="18">
        <f t="shared" si="18"/>
        <v>0.84666666666666668</v>
      </c>
      <c r="C55" s="3">
        <f t="shared" si="7"/>
        <v>115.2</v>
      </c>
      <c r="D55" s="3">
        <f t="shared" si="8"/>
        <v>2.0106192982974678</v>
      </c>
      <c r="E55" s="53">
        <f t="shared" si="24"/>
        <v>1.8096541049320389</v>
      </c>
      <c r="F55" s="53">
        <f t="shared" si="25"/>
        <v>-0.41284379330483473</v>
      </c>
      <c r="G55" s="174">
        <f t="shared" si="11"/>
        <v>1.8561486947892143</v>
      </c>
      <c r="H55" s="175">
        <f t="shared" si="12"/>
        <v>2.2772904995441383</v>
      </c>
      <c r="I55" s="3"/>
      <c r="J55">
        <f t="shared" si="23"/>
        <v>-0.22328550907251421</v>
      </c>
      <c r="K55" s="6">
        <f t="shared" si="14"/>
        <v>-8.8077878171449626</v>
      </c>
      <c r="L55">
        <f t="shared" si="15"/>
        <v>2.0429264199727251</v>
      </c>
      <c r="M55">
        <f t="shared" si="19"/>
        <v>9.2747704149343679</v>
      </c>
      <c r="N55">
        <f t="shared" si="20"/>
        <v>-1.4903883581103345</v>
      </c>
      <c r="O55" s="163">
        <f t="shared" si="16"/>
        <v>-0.44349444330703636</v>
      </c>
      <c r="P55" s="170">
        <f t="shared" si="21"/>
        <v>1.0986662336170681</v>
      </c>
      <c r="Q55" s="170">
        <f t="shared" si="17"/>
        <v>-12.851185804945645</v>
      </c>
      <c r="R55" s="170">
        <f t="shared" si="2"/>
        <v>5053</v>
      </c>
      <c r="S55" s="251">
        <f>S54+11</f>
        <v>41579</v>
      </c>
      <c r="T55" s="198">
        <v>-14.403199248645491</v>
      </c>
      <c r="U55" s="199">
        <v>16.409515060939913</v>
      </c>
      <c r="AM55" s="2"/>
    </row>
    <row r="56" spans="1:39">
      <c r="A56" s="132">
        <f t="shared" si="22"/>
        <v>20</v>
      </c>
      <c r="B56" s="18">
        <f t="shared" si="18"/>
        <v>0.84666666666666668</v>
      </c>
      <c r="C56" s="3">
        <f t="shared" si="7"/>
        <v>115.2</v>
      </c>
      <c r="D56" s="3">
        <f t="shared" si="8"/>
        <v>2.0106192982974678</v>
      </c>
      <c r="E56" s="53">
        <f t="shared" si="24"/>
        <v>1.8096541049320389</v>
      </c>
      <c r="F56" s="53">
        <f t="shared" si="25"/>
        <v>-0.41284379330483473</v>
      </c>
      <c r="G56" s="174">
        <f t="shared" si="11"/>
        <v>1.8561486947892143</v>
      </c>
      <c r="H56" s="175">
        <f t="shared" si="12"/>
        <v>2.2772904995441383</v>
      </c>
      <c r="I56" s="3"/>
      <c r="J56">
        <f t="shared" si="23"/>
        <v>-0.22328550907251421</v>
      </c>
      <c r="K56" s="6">
        <f t="shared" si="14"/>
        <v>-8.8077878171449626</v>
      </c>
      <c r="L56">
        <f t="shared" si="15"/>
        <v>2.0429264199727251</v>
      </c>
      <c r="M56">
        <f t="shared" si="19"/>
        <v>9.2747704149343679</v>
      </c>
      <c r="N56">
        <f t="shared" si="20"/>
        <v>-1.4903883581103345</v>
      </c>
      <c r="O56" s="163">
        <f t="shared" si="16"/>
        <v>-0.44349444330703636</v>
      </c>
      <c r="P56" s="170">
        <f t="shared" si="21"/>
        <v>1.0986662336170681</v>
      </c>
      <c r="Q56" s="170">
        <f t="shared" si="17"/>
        <v>-12.851185804945645</v>
      </c>
      <c r="R56" s="170">
        <f t="shared" si="2"/>
        <v>5063</v>
      </c>
      <c r="S56" s="251">
        <f>S55+10</f>
        <v>41589</v>
      </c>
      <c r="T56" s="198">
        <v>-17.397176546428245</v>
      </c>
      <c r="U56" s="199">
        <v>16.017455834376129</v>
      </c>
      <c r="AM56" s="2"/>
    </row>
    <row r="57" spans="1:39">
      <c r="A57" s="132">
        <f t="shared" si="22"/>
        <v>20</v>
      </c>
      <c r="B57" s="18">
        <f t="shared" si="18"/>
        <v>0.84666666666666668</v>
      </c>
      <c r="C57" s="3">
        <f t="shared" si="7"/>
        <v>115.2</v>
      </c>
      <c r="D57" s="3">
        <f t="shared" si="8"/>
        <v>2.0106192982974678</v>
      </c>
      <c r="E57" s="53">
        <f t="shared" si="24"/>
        <v>1.8096541049320389</v>
      </c>
      <c r="F57" s="53">
        <f t="shared" si="25"/>
        <v>-0.41284379330483473</v>
      </c>
      <c r="G57" s="174">
        <f t="shared" si="11"/>
        <v>1.8561486947892143</v>
      </c>
      <c r="H57" s="175">
        <f t="shared" si="12"/>
        <v>2.2772904995441383</v>
      </c>
      <c r="I57" s="3"/>
      <c r="J57">
        <f t="shared" si="23"/>
        <v>-0.22328550907251421</v>
      </c>
      <c r="K57" s="6">
        <f t="shared" si="14"/>
        <v>-8.8077878171449626</v>
      </c>
      <c r="L57">
        <f t="shared" si="15"/>
        <v>2.0429264199727251</v>
      </c>
      <c r="M57">
        <f t="shared" si="19"/>
        <v>9.2747704149343679</v>
      </c>
      <c r="N57">
        <f t="shared" si="20"/>
        <v>-1.4903883581103345</v>
      </c>
      <c r="O57" s="163">
        <f t="shared" si="16"/>
        <v>-0.44349444330703636</v>
      </c>
      <c r="P57" s="170">
        <f t="shared" si="21"/>
        <v>1.0986662336170681</v>
      </c>
      <c r="Q57" s="170">
        <f t="shared" si="17"/>
        <v>-12.851185804945645</v>
      </c>
      <c r="R57" s="170">
        <f t="shared" si="2"/>
        <v>5073</v>
      </c>
      <c r="S57" s="251">
        <f>S56+10</f>
        <v>41599</v>
      </c>
      <c r="T57" s="198">
        <v>-19.893718314246449</v>
      </c>
      <c r="U57" s="199">
        <v>14.216870539175908</v>
      </c>
      <c r="AM57" s="2"/>
    </row>
    <row r="58" spans="1:39">
      <c r="A58" s="132">
        <f t="shared" si="22"/>
        <v>20</v>
      </c>
      <c r="B58" s="18">
        <f t="shared" si="18"/>
        <v>0.84666666666666668</v>
      </c>
      <c r="C58" s="3">
        <f t="shared" si="7"/>
        <v>115.2</v>
      </c>
      <c r="D58" s="3">
        <f t="shared" si="8"/>
        <v>2.0106192982974678</v>
      </c>
      <c r="E58" s="104">
        <f t="shared" si="24"/>
        <v>1.8096541049320389</v>
      </c>
      <c r="F58" s="104">
        <f t="shared" si="25"/>
        <v>-0.41284379330483473</v>
      </c>
      <c r="G58" s="176">
        <f t="shared" si="11"/>
        <v>1.8561486947892143</v>
      </c>
      <c r="H58" s="177">
        <f t="shared" si="12"/>
        <v>2.2772904995441383</v>
      </c>
      <c r="I58" s="3"/>
      <c r="J58">
        <f t="shared" si="23"/>
        <v>-0.22328550907251421</v>
      </c>
      <c r="K58" s="6">
        <f t="shared" si="14"/>
        <v>-8.8077878171449626</v>
      </c>
      <c r="L58">
        <f t="shared" si="15"/>
        <v>2.0429264199727251</v>
      </c>
      <c r="M58">
        <f>IF($J58&gt;0,IF($K58&lt;15,$K58*SIN($L58),$M57),$M57)</f>
        <v>9.2747704149343679</v>
      </c>
      <c r="N58">
        <f t="shared" si="20"/>
        <v>-1.4903883581103345</v>
      </c>
      <c r="O58" s="163">
        <f t="shared" si="16"/>
        <v>-0.44349444330703636</v>
      </c>
      <c r="P58" s="170">
        <f t="shared" si="21"/>
        <v>1.0986662336170681</v>
      </c>
      <c r="Q58" s="170">
        <f t="shared" si="17"/>
        <v>-12.851185804945645</v>
      </c>
      <c r="R58" s="170">
        <f t="shared" si="2"/>
        <v>5083</v>
      </c>
      <c r="S58" s="251">
        <f>S57+10</f>
        <v>41609</v>
      </c>
      <c r="T58" s="198">
        <v>-21.787439742405649</v>
      </c>
      <c r="U58" s="199">
        <v>11.089498784250033</v>
      </c>
      <c r="AM58" s="2"/>
    </row>
    <row r="59" spans="1:39">
      <c r="D59" s="306"/>
      <c r="E59" s="306"/>
      <c r="F59" s="306"/>
      <c r="G59" s="84"/>
      <c r="H59" s="3"/>
      <c r="I59" s="3"/>
      <c r="J59" s="3"/>
      <c r="O59" s="171"/>
      <c r="P59" s="168"/>
      <c r="Q59" s="170"/>
      <c r="R59" s="170">
        <f t="shared" si="2"/>
        <v>5093</v>
      </c>
      <c r="S59" s="251">
        <f>S58+10</f>
        <v>41619</v>
      </c>
      <c r="T59" s="198">
        <v>-22.988909264808527</v>
      </c>
      <c r="U59" s="199">
        <v>6.9012846826183809</v>
      </c>
      <c r="AM59" s="2"/>
    </row>
    <row r="60" spans="1:39">
      <c r="C60" s="102" t="s">
        <v>61</v>
      </c>
      <c r="D60" s="308" t="str">
        <f>IF($C$7,"Calculation of Date Points in Layout and Layout2","Berechnung der Datumspunkte in Layout u. Layout2")</f>
        <v>Calculation of Date Points in Layout and Layout2</v>
      </c>
      <c r="E60" s="308"/>
      <c r="F60" s="308"/>
      <c r="G60" s="308"/>
      <c r="H60" s="3"/>
      <c r="I60" s="3"/>
      <c r="O60" s="171"/>
      <c r="P60" s="168"/>
      <c r="Q60" s="170"/>
      <c r="R60" s="170">
        <f t="shared" si="2"/>
        <v>5103</v>
      </c>
      <c r="S60" s="251">
        <f>S59+10</f>
        <v>41629</v>
      </c>
      <c r="T60" s="198">
        <v>-23.43565159121577</v>
      </c>
      <c r="U60" s="199">
        <v>2.0819949427257138</v>
      </c>
    </row>
    <row r="61" spans="1:39">
      <c r="A61" s="33"/>
      <c r="B61" s="25" t="s">
        <v>9</v>
      </c>
      <c r="H61" s="3"/>
      <c r="I61" s="293" t="str">
        <f>IF($C$7,"Width of Date Lines","Breite der Datumsleiste")</f>
        <v>Width of Date Lines</v>
      </c>
      <c r="J61" s="293" t="str">
        <f>IF($C$7,"Days since 1.1.2000","Tage seit 1.1.2000")</f>
        <v>Days since 1.1.2000</v>
      </c>
      <c r="O61" s="171"/>
      <c r="P61" s="168"/>
      <c r="Q61" s="170"/>
      <c r="R61" s="170">
        <f t="shared" si="2"/>
        <v>5114</v>
      </c>
      <c r="S61" s="252">
        <f>S60+11</f>
        <v>41640</v>
      </c>
      <c r="T61" s="200">
        <v>-23.025293504685006</v>
      </c>
      <c r="U61" s="201">
        <v>-3.3119446804536787</v>
      </c>
    </row>
    <row r="62" spans="1:39" s="26" customFormat="1">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293"/>
      <c r="J62" s="293"/>
      <c r="K62" s="32" t="s">
        <v>0</v>
      </c>
      <c r="L62" s="32" t="s">
        <v>11</v>
      </c>
      <c r="M62" s="32" t="s">
        <v>12</v>
      </c>
      <c r="N62" s="33" t="s">
        <v>14</v>
      </c>
      <c r="O62" s="33" t="s">
        <v>15</v>
      </c>
      <c r="P62" s="32" t="s">
        <v>13</v>
      </c>
      <c r="Q62" s="33" t="s">
        <v>16</v>
      </c>
      <c r="R62" s="31"/>
    </row>
    <row r="63" spans="1:39">
      <c r="A63" s="167">
        <f>J63</f>
        <v>731</v>
      </c>
      <c r="B63" s="81">
        <v>37257</v>
      </c>
      <c r="C63" s="4">
        <f>DATEVALUE(B63)-DATEVALUE($B$63)+1</f>
        <v>1</v>
      </c>
      <c r="D63" s="28">
        <f>ASIN(SIN(K63*$J$1)*SIN(P63*$J$1))/$J$1</f>
        <v>-22.991633987675449</v>
      </c>
      <c r="E63" s="29">
        <f>Q63*4</f>
        <v>-3.536725508672915</v>
      </c>
      <c r="F63" s="3">
        <f>-E63/2/360*3.1415926*$C$15</f>
        <v>3.0863751906327962E-2</v>
      </c>
      <c r="G63" s="178">
        <f t="shared" ref="G63:G70" si="26">TAN(D63*$J$1)*SIN(($K$18-$J$9))*$C$15/SIN($K$18)</f>
        <v>-0.74220666306230432</v>
      </c>
      <c r="H63" s="56">
        <f>B63</f>
        <v>37257</v>
      </c>
      <c r="I63" s="46">
        <v>-0.15</v>
      </c>
      <c r="J63" s="41">
        <f>DATEVALUE($B63)-DATE(2000,1,1)</f>
        <v>731</v>
      </c>
      <c r="K63" s="35">
        <f t="shared" ref="K63:K79" si="27">23.4393-J63/36525*0.013</f>
        <v>23.4390398220397</v>
      </c>
      <c r="L63" s="35">
        <f>36000.77/36525*J63+280.46</f>
        <v>1000.9682236824092</v>
      </c>
      <c r="M63" s="8">
        <f>35999.05/36525*J63+357.528</f>
        <v>1078.0018001368926</v>
      </c>
      <c r="N63" s="9">
        <f t="shared" ref="N63:N70" si="28">IF(L63&gt;0,L63-FLOOR(L63,360),L63+CEILING(-L63,360))</f>
        <v>280.96822368240919</v>
      </c>
      <c r="O63" s="9">
        <f t="shared" ref="O63:O68" si="29">IF(M63&gt;0,M63-FLOOR(M63,360),M63+CEILING(-M63,360))</f>
        <v>358.0018001368926</v>
      </c>
      <c r="P63" s="8">
        <f>N63+1.915*SIN(O63*$J$1)+0.02*SIN(2*$J$1*O63)</f>
        <v>280.90005739987919</v>
      </c>
      <c r="Q63" s="9">
        <f>-1.915*SIN(M63*$J$1)-0.02*SIN(M63*2*$J$1)+2.466*SIN(P63*2*$J$1)-0.053*SIN(P63*4*$J$1)</f>
        <v>-0.88418137716822875</v>
      </c>
      <c r="R63" s="7"/>
    </row>
    <row r="64" spans="1:39">
      <c r="A64" s="167">
        <f t="shared" ref="A64:A78" si="30">J64</f>
        <v>763</v>
      </c>
      <c r="B64" s="81">
        <v>37289</v>
      </c>
      <c r="C64" s="4">
        <f t="shared" ref="C64:C78" si="31">DATEVALUE(B64)-DATEVALUE($B$63)+1</f>
        <v>33</v>
      </c>
      <c r="D64" s="28">
        <f t="shared" ref="D64:D78" si="32">ASIN(SIN(K64*$J$1)*SIN(P64*$J$1))/$J$1</f>
        <v>-16.7787237985372</v>
      </c>
      <c r="E64" s="29">
        <f t="shared" ref="E64:E78" si="33">Q64*4</f>
        <v>-13.717905902928857</v>
      </c>
      <c r="F64" s="3">
        <f t="shared" ref="F64:F78" si="34">-E64/2/360*3.1415926*$C$15</f>
        <v>0.11971131020038227</v>
      </c>
      <c r="G64" s="55">
        <f t="shared" si="26"/>
        <v>-0.52741782311870999</v>
      </c>
      <c r="H64" s="56">
        <f t="shared" ref="H64:H78" si="35">B64</f>
        <v>37289</v>
      </c>
      <c r="I64" s="42">
        <f t="shared" ref="I64:I70" si="36">I63</f>
        <v>-0.15</v>
      </c>
      <c r="J64" s="41">
        <f t="shared" ref="J64:J78" si="37">DATEVALUE($B64)-DATE(2000,1,1)</f>
        <v>763</v>
      </c>
      <c r="K64" s="35">
        <f t="shared" si="27"/>
        <v>23.439028432580425</v>
      </c>
      <c r="L64" s="35">
        <f t="shared" ref="L64:L79" si="38">36000.77/36525*J64+280.46</f>
        <v>1032.508939356605</v>
      </c>
      <c r="M64" s="8">
        <f t="shared" ref="M64:M78" si="39">35999.05/36525*J64+357.528</f>
        <v>1109.5410088980152</v>
      </c>
      <c r="N64" s="9">
        <f t="shared" si="28"/>
        <v>312.50893935660497</v>
      </c>
      <c r="O64" s="9">
        <f t="shared" si="29"/>
        <v>29.541008898015207</v>
      </c>
      <c r="P64" s="8">
        <f t="shared" ref="P64:P79" si="40">N64+1.915*SIN(O64*$J$1)+0.02*SIN(2*$J$1*O64)</f>
        <v>313.47028125299329</v>
      </c>
      <c r="Q64" s="9">
        <f t="shared" ref="Q64:Q79" si="41">-1.915*SIN(M64*$J$1)-0.02*SIN(M64*2*$J$1)+2.466*SIN(P64*2*$J$1)-0.053*SIN(P64*4*$J$1)</f>
        <v>-3.4294764757322143</v>
      </c>
      <c r="R64" s="7"/>
    </row>
    <row r="65" spans="1:18">
      <c r="A65" s="167">
        <f t="shared" si="30"/>
        <v>790</v>
      </c>
      <c r="B65" s="81">
        <v>37316</v>
      </c>
      <c r="C65" s="4">
        <f t="shared" si="31"/>
        <v>60</v>
      </c>
      <c r="D65" s="28">
        <f t="shared" si="32"/>
        <v>-7.5430236304308433</v>
      </c>
      <c r="E65" s="29">
        <f t="shared" si="33"/>
        <v>-12.374940920330559</v>
      </c>
      <c r="F65" s="3">
        <f t="shared" si="34"/>
        <v>0.10799173005763243</v>
      </c>
      <c r="G65" s="55">
        <f t="shared" si="26"/>
        <v>-0.23162814729025077</v>
      </c>
      <c r="H65" s="56">
        <f t="shared" si="35"/>
        <v>37316</v>
      </c>
      <c r="I65" s="42">
        <f t="shared" si="36"/>
        <v>-0.15</v>
      </c>
      <c r="J65" s="41">
        <f t="shared" si="37"/>
        <v>790</v>
      </c>
      <c r="K65" s="35">
        <f t="shared" si="27"/>
        <v>23.439018822724162</v>
      </c>
      <c r="L65" s="35">
        <f t="shared" si="38"/>
        <v>1059.1214182067076</v>
      </c>
      <c r="M65" s="8">
        <f t="shared" si="39"/>
        <v>1136.1522162902122</v>
      </c>
      <c r="N65" s="9">
        <f t="shared" si="28"/>
        <v>339.12141820670763</v>
      </c>
      <c r="O65" s="9">
        <f t="shared" si="29"/>
        <v>56.152216290212209</v>
      </c>
      <c r="P65" s="8">
        <f t="shared" si="40"/>
        <v>340.73036807200702</v>
      </c>
      <c r="Q65" s="9">
        <f t="shared" si="41"/>
        <v>-3.0937352300826397</v>
      </c>
      <c r="R65" s="7"/>
    </row>
    <row r="66" spans="1:18">
      <c r="A66" s="167">
        <f t="shared" si="30"/>
        <v>810</v>
      </c>
      <c r="B66" s="81">
        <v>37336</v>
      </c>
      <c r="C66" s="4">
        <f t="shared" si="31"/>
        <v>80</v>
      </c>
      <c r="D66" s="28">
        <f t="shared" si="32"/>
        <v>0.27877382880803792</v>
      </c>
      <c r="E66" s="29">
        <f t="shared" si="33"/>
        <v>-7.2350215468219243</v>
      </c>
      <c r="F66" s="3">
        <f t="shared" si="34"/>
        <v>6.3137472645378639E-2</v>
      </c>
      <c r="G66" s="55">
        <f t="shared" si="26"/>
        <v>8.5110285824464924E-3</v>
      </c>
      <c r="H66" s="56">
        <f t="shared" si="35"/>
        <v>37336</v>
      </c>
      <c r="I66" s="42">
        <f t="shared" si="36"/>
        <v>-0.15</v>
      </c>
      <c r="J66" s="41">
        <f t="shared" si="37"/>
        <v>810</v>
      </c>
      <c r="K66" s="35">
        <f t="shared" si="27"/>
        <v>23.439011704312115</v>
      </c>
      <c r="L66" s="35">
        <f t="shared" si="38"/>
        <v>1078.8343655030799</v>
      </c>
      <c r="M66" s="8">
        <f t="shared" si="39"/>
        <v>1155.864221765914</v>
      </c>
      <c r="N66" s="9">
        <f t="shared" si="28"/>
        <v>358.83436550307988</v>
      </c>
      <c r="O66" s="9">
        <f t="shared" si="29"/>
        <v>75.864221765913953</v>
      </c>
      <c r="P66" s="8">
        <f t="shared" si="40"/>
        <v>360.70085175211261</v>
      </c>
      <c r="Q66" s="9">
        <f t="shared" si="41"/>
        <v>-1.8087553867054811</v>
      </c>
      <c r="R66" s="7"/>
    </row>
    <row r="67" spans="1:18">
      <c r="A67" s="167">
        <f t="shared" si="30"/>
        <v>821</v>
      </c>
      <c r="B67" s="81">
        <v>37347</v>
      </c>
      <c r="C67" s="4">
        <f t="shared" si="31"/>
        <v>91</v>
      </c>
      <c r="D67" s="28">
        <f t="shared" si="32"/>
        <v>4.5839374477366368</v>
      </c>
      <c r="E67" s="29">
        <f t="shared" si="33"/>
        <v>-3.9270772509077672</v>
      </c>
      <c r="F67" s="3">
        <f t="shared" si="34"/>
        <v>3.4270213419667184E-2</v>
      </c>
      <c r="G67" s="55">
        <f t="shared" si="26"/>
        <v>0.1402469086178906</v>
      </c>
      <c r="H67" s="56">
        <f t="shared" si="35"/>
        <v>37347</v>
      </c>
      <c r="I67" s="42">
        <f t="shared" si="36"/>
        <v>-0.15</v>
      </c>
      <c r="J67" s="41">
        <f t="shared" si="37"/>
        <v>821</v>
      </c>
      <c r="K67" s="35">
        <f t="shared" si="27"/>
        <v>23.439007789185489</v>
      </c>
      <c r="L67" s="35">
        <f t="shared" si="38"/>
        <v>1089.6764865160847</v>
      </c>
      <c r="M67" s="8">
        <f t="shared" si="39"/>
        <v>1166.7058247775497</v>
      </c>
      <c r="N67" s="9">
        <f t="shared" si="28"/>
        <v>9.6764865160846512</v>
      </c>
      <c r="O67" s="9">
        <f t="shared" si="29"/>
        <v>86.705824777549651</v>
      </c>
      <c r="P67" s="8">
        <f t="shared" si="40"/>
        <v>11.590616995142904</v>
      </c>
      <c r="Q67" s="9">
        <f t="shared" si="41"/>
        <v>-0.98176931272694179</v>
      </c>
      <c r="R67" s="7"/>
    </row>
    <row r="68" spans="1:18">
      <c r="A68" s="167">
        <f t="shared" si="30"/>
        <v>851</v>
      </c>
      <c r="B68" s="81">
        <v>37377</v>
      </c>
      <c r="C68" s="4">
        <f t="shared" si="31"/>
        <v>121</v>
      </c>
      <c r="D68" s="28">
        <f t="shared" si="32"/>
        <v>15.110734712682955</v>
      </c>
      <c r="E68" s="29">
        <f t="shared" si="33"/>
        <v>2.9011442918658359</v>
      </c>
      <c r="F68" s="3">
        <f t="shared" si="34"/>
        <v>-2.5317259552383196E-2</v>
      </c>
      <c r="G68" s="55">
        <f t="shared" si="26"/>
        <v>0.47233262516722013</v>
      </c>
      <c r="H68" s="56">
        <f t="shared" si="35"/>
        <v>37377</v>
      </c>
      <c r="I68" s="42">
        <f t="shared" si="36"/>
        <v>-0.15</v>
      </c>
      <c r="J68" s="41">
        <f t="shared" si="37"/>
        <v>851</v>
      </c>
      <c r="K68" s="35">
        <f t="shared" si="27"/>
        <v>23.438997111567417</v>
      </c>
      <c r="L68" s="35">
        <f t="shared" si="38"/>
        <v>1119.2459074606434</v>
      </c>
      <c r="M68" s="8">
        <f t="shared" si="39"/>
        <v>1196.2738329911022</v>
      </c>
      <c r="N68" s="9">
        <f t="shared" si="28"/>
        <v>39.245907460643366</v>
      </c>
      <c r="O68" s="9">
        <f t="shared" si="29"/>
        <v>116.27383299110215</v>
      </c>
      <c r="P68" s="8">
        <f t="shared" si="40"/>
        <v>40.947189107359179</v>
      </c>
      <c r="Q68" s="9">
        <f t="shared" si="41"/>
        <v>0.72528607296645897</v>
      </c>
      <c r="R68" s="7"/>
    </row>
    <row r="69" spans="1:18">
      <c r="A69" s="167">
        <f t="shared" si="30"/>
        <v>882</v>
      </c>
      <c r="B69" s="81">
        <v>37408</v>
      </c>
      <c r="C69" s="4">
        <f t="shared" si="31"/>
        <v>152</v>
      </c>
      <c r="D69" s="28">
        <f t="shared" si="32"/>
        <v>22.068588550280939</v>
      </c>
      <c r="E69" s="29">
        <f t="shared" si="33"/>
        <v>2.2070852359338602</v>
      </c>
      <c r="F69" s="3">
        <f t="shared" si="34"/>
        <v>-1.9260451791052971E-2</v>
      </c>
      <c r="G69" s="55">
        <f t="shared" si="26"/>
        <v>0.70917560594947104</v>
      </c>
      <c r="H69" s="56">
        <f t="shared" si="35"/>
        <v>37408</v>
      </c>
      <c r="I69" s="42">
        <f t="shared" si="36"/>
        <v>-0.15</v>
      </c>
      <c r="J69" s="41">
        <f t="shared" si="37"/>
        <v>882</v>
      </c>
      <c r="K69" s="35">
        <f t="shared" si="27"/>
        <v>23.438986078028748</v>
      </c>
      <c r="L69" s="35">
        <f t="shared" si="38"/>
        <v>1149.8009757700204</v>
      </c>
      <c r="M69" s="8">
        <f t="shared" si="39"/>
        <v>1226.8274414784396</v>
      </c>
      <c r="N69" s="9">
        <f t="shared" si="28"/>
        <v>69.800975770020386</v>
      </c>
      <c r="O69" s="9">
        <f>IF(M69&gt;0,M69-FLOOR(M69,360),M69+CEILING(-M69,360))</f>
        <v>146.8274414784396</v>
      </c>
      <c r="P69" s="8">
        <f t="shared" si="40"/>
        <v>70.830472184521099</v>
      </c>
      <c r="Q69" s="9">
        <f t="shared" si="41"/>
        <v>0.55177130898346505</v>
      </c>
      <c r="R69" s="7"/>
    </row>
    <row r="70" spans="1:18">
      <c r="A70" s="167">
        <f t="shared" si="30"/>
        <v>902</v>
      </c>
      <c r="B70" s="81">
        <v>37428</v>
      </c>
      <c r="C70" s="4">
        <f t="shared" si="31"/>
        <v>172</v>
      </c>
      <c r="D70" s="28">
        <f t="shared" si="32"/>
        <v>23.438969739280981</v>
      </c>
      <c r="E70" s="29">
        <f t="shared" si="33"/>
        <v>-1.729113557405364</v>
      </c>
      <c r="F70" s="3">
        <f t="shared" si="34"/>
        <v>1.5089362101401018E-2</v>
      </c>
      <c r="G70" s="55">
        <f t="shared" si="26"/>
        <v>0.7583764458508333</v>
      </c>
      <c r="H70" s="56">
        <f t="shared" si="35"/>
        <v>37428</v>
      </c>
      <c r="I70" s="42">
        <f t="shared" si="36"/>
        <v>-0.15</v>
      </c>
      <c r="J70" s="41">
        <f t="shared" si="37"/>
        <v>902</v>
      </c>
      <c r="K70" s="35">
        <f t="shared" si="27"/>
        <v>23.438978959616701</v>
      </c>
      <c r="L70" s="35">
        <f t="shared" si="38"/>
        <v>1169.5139230663926</v>
      </c>
      <c r="M70" s="8">
        <f t="shared" si="39"/>
        <v>1246.5394469541411</v>
      </c>
      <c r="N70" s="9">
        <f t="shared" si="28"/>
        <v>89.513923066392636</v>
      </c>
      <c r="O70" s="9">
        <f t="shared" ref="O70:O79" si="42">IF(M70&gt;0,M70-FLOOR(M70,360),M70+CEILING(-M70,360))</f>
        <v>166.53944695414111</v>
      </c>
      <c r="P70" s="8">
        <f t="shared" si="40"/>
        <v>89.950633559325937</v>
      </c>
      <c r="Q70" s="9">
        <f t="shared" si="41"/>
        <v>-0.432278389351341</v>
      </c>
      <c r="R70" s="7"/>
    </row>
    <row r="71" spans="1:18">
      <c r="A71" s="167">
        <f t="shared" si="30"/>
        <v>912</v>
      </c>
      <c r="B71" s="81">
        <v>37438</v>
      </c>
      <c r="C71" s="4">
        <f t="shared" si="31"/>
        <v>182</v>
      </c>
      <c r="D71" s="28">
        <f t="shared" si="32"/>
        <v>23.099576227833481</v>
      </c>
      <c r="E71" s="29">
        <f t="shared" si="33"/>
        <v>-3.8095160546352176</v>
      </c>
      <c r="F71" s="3">
        <f t="shared" si="34"/>
        <v>3.3244298463397763E-2</v>
      </c>
      <c r="G71" s="55">
        <f t="shared" ref="G71:G78" si="43">TAN(D71*$J$1)*SIN(($K$18-$J$9))*$C$15/SIN($K$18)</f>
        <v>0.74609854692425648</v>
      </c>
      <c r="H71" s="56">
        <f t="shared" si="35"/>
        <v>37438</v>
      </c>
      <c r="I71" s="46">
        <v>0.15</v>
      </c>
      <c r="J71" s="41">
        <f t="shared" si="37"/>
        <v>912</v>
      </c>
      <c r="K71" s="35">
        <f t="shared" si="27"/>
        <v>23.438975400410676</v>
      </c>
      <c r="L71" s="35">
        <f t="shared" si="38"/>
        <v>1179.3703967145789</v>
      </c>
      <c r="M71" s="8">
        <f t="shared" si="39"/>
        <v>1256.3954496919919</v>
      </c>
      <c r="N71" s="9">
        <f t="shared" ref="N71:N79" si="44">IF(L71&gt;0,L71-FLOOR(L71,360),L71+CEILING(-L71,360))</f>
        <v>99.370396714578874</v>
      </c>
      <c r="O71" s="9">
        <f t="shared" si="42"/>
        <v>176.39544969199187</v>
      </c>
      <c r="P71" s="8">
        <f t="shared" si="40"/>
        <v>99.488282527883797</v>
      </c>
      <c r="Q71" s="9">
        <f t="shared" si="41"/>
        <v>-0.9523790136588044</v>
      </c>
      <c r="R71" s="7"/>
    </row>
    <row r="72" spans="1:18">
      <c r="A72" s="167">
        <f t="shared" si="30"/>
        <v>943</v>
      </c>
      <c r="B72" s="81">
        <v>37469</v>
      </c>
      <c r="C72" s="4">
        <f t="shared" si="31"/>
        <v>213</v>
      </c>
      <c r="D72" s="28">
        <f t="shared" si="32"/>
        <v>17.987191248733009</v>
      </c>
      <c r="E72" s="29">
        <f t="shared" si="33"/>
        <v>-6.332065439363042</v>
      </c>
      <c r="F72" s="3">
        <f t="shared" si="34"/>
        <v>5.5257694241718565E-2</v>
      </c>
      <c r="G72" s="55">
        <f t="shared" si="43"/>
        <v>0.56793003515448237</v>
      </c>
      <c r="H72" s="56">
        <f t="shared" si="35"/>
        <v>37469</v>
      </c>
      <c r="I72" s="42">
        <f t="shared" ref="I72:I78" si="45">I71</f>
        <v>0.15</v>
      </c>
      <c r="J72" s="41">
        <f t="shared" si="37"/>
        <v>943</v>
      </c>
      <c r="K72" s="35">
        <f t="shared" si="27"/>
        <v>23.438964366872003</v>
      </c>
      <c r="L72" s="35">
        <f t="shared" si="38"/>
        <v>1209.9254650239561</v>
      </c>
      <c r="M72" s="8">
        <f t="shared" si="39"/>
        <v>1286.9490581793293</v>
      </c>
      <c r="N72" s="9">
        <f t="shared" si="44"/>
        <v>129.92546502395612</v>
      </c>
      <c r="O72" s="9">
        <f t="shared" si="42"/>
        <v>206.94905817932931</v>
      </c>
      <c r="P72" s="8">
        <f t="shared" si="40"/>
        <v>129.07375002622885</v>
      </c>
      <c r="Q72" s="9">
        <f t="shared" si="41"/>
        <v>-1.5830163598407605</v>
      </c>
      <c r="R72" s="7"/>
    </row>
    <row r="73" spans="1:18">
      <c r="A73" s="167">
        <f t="shared" si="30"/>
        <v>974</v>
      </c>
      <c r="B73" s="81">
        <v>37500</v>
      </c>
      <c r="C73" s="4">
        <f t="shared" si="31"/>
        <v>244</v>
      </c>
      <c r="D73" s="28">
        <f t="shared" si="32"/>
        <v>8.2390404334191629</v>
      </c>
      <c r="E73" s="29">
        <f t="shared" si="33"/>
        <v>-3.0974942797341226E-2</v>
      </c>
      <c r="F73" s="3">
        <f t="shared" si="34"/>
        <v>2.7030736410430694E-4</v>
      </c>
      <c r="G73" s="55">
        <f t="shared" si="43"/>
        <v>0.25328602427309965</v>
      </c>
      <c r="H73" s="56">
        <f t="shared" si="35"/>
        <v>37500</v>
      </c>
      <c r="I73" s="42">
        <f t="shared" si="45"/>
        <v>0.15</v>
      </c>
      <c r="J73" s="41">
        <f t="shared" si="37"/>
        <v>974</v>
      </c>
      <c r="K73" s="35">
        <f t="shared" si="27"/>
        <v>23.438953333333334</v>
      </c>
      <c r="L73" s="35">
        <f t="shared" si="38"/>
        <v>1240.4805333333331</v>
      </c>
      <c r="M73" s="8">
        <f t="shared" si="39"/>
        <v>1317.5026666666668</v>
      </c>
      <c r="N73" s="9">
        <f t="shared" si="44"/>
        <v>160.48053333333314</v>
      </c>
      <c r="O73" s="9">
        <f t="shared" si="42"/>
        <v>237.50266666666676</v>
      </c>
      <c r="P73" s="8">
        <f t="shared" si="40"/>
        <v>158.88351619671255</v>
      </c>
      <c r="Q73" s="9">
        <f t="shared" si="41"/>
        <v>-7.7437356993353065E-3</v>
      </c>
      <c r="R73" s="7"/>
    </row>
    <row r="74" spans="1:18">
      <c r="A74" s="167">
        <f t="shared" si="30"/>
        <v>995</v>
      </c>
      <c r="B74" s="81">
        <v>37521</v>
      </c>
      <c r="C74" s="4">
        <f t="shared" si="31"/>
        <v>265</v>
      </c>
      <c r="D74" s="28">
        <f t="shared" si="32"/>
        <v>0.27342194351338306</v>
      </c>
      <c r="E74" s="29">
        <f t="shared" si="33"/>
        <v>7.2396130640470115</v>
      </c>
      <c r="F74" s="3">
        <f t="shared" si="34"/>
        <v>-6.3177541191315051E-2</v>
      </c>
      <c r="G74" s="55">
        <f t="shared" si="43"/>
        <v>8.3476317986600594E-3</v>
      </c>
      <c r="H74" s="56">
        <f t="shared" si="35"/>
        <v>37521</v>
      </c>
      <c r="I74" s="42">
        <f t="shared" si="45"/>
        <v>0.15</v>
      </c>
      <c r="J74" s="41">
        <f t="shared" si="37"/>
        <v>995</v>
      </c>
      <c r="K74" s="35">
        <f t="shared" si="27"/>
        <v>23.438945859000683</v>
      </c>
      <c r="L74" s="35">
        <f t="shared" si="38"/>
        <v>1261.1791279945242</v>
      </c>
      <c r="M74" s="8">
        <f t="shared" si="39"/>
        <v>1338.2002724161534</v>
      </c>
      <c r="N74" s="9">
        <f t="shared" si="44"/>
        <v>181.17912799452415</v>
      </c>
      <c r="O74" s="9">
        <f t="shared" si="42"/>
        <v>258.20027241615344</v>
      </c>
      <c r="P74" s="8">
        <f t="shared" si="40"/>
        <v>179.31260188950898</v>
      </c>
      <c r="Q74" s="9">
        <f t="shared" si="41"/>
        <v>1.8099032660117529</v>
      </c>
      <c r="R74" s="7"/>
    </row>
    <row r="75" spans="1:18">
      <c r="A75" s="167">
        <f t="shared" si="30"/>
        <v>1004</v>
      </c>
      <c r="B75" s="81">
        <v>37530</v>
      </c>
      <c r="C75" s="4">
        <f t="shared" si="31"/>
        <v>274</v>
      </c>
      <c r="D75" s="28">
        <f t="shared" si="32"/>
        <v>-3.2284900689164786</v>
      </c>
      <c r="E75" s="29">
        <f t="shared" si="33"/>
        <v>10.292762076215309</v>
      </c>
      <c r="F75" s="3">
        <f t="shared" si="34"/>
        <v>-8.9821292144996248E-2</v>
      </c>
      <c r="G75" s="55">
        <f t="shared" si="43"/>
        <v>-9.8670210898872568E-2</v>
      </c>
      <c r="H75" s="56">
        <f t="shared" si="35"/>
        <v>37530</v>
      </c>
      <c r="I75" s="42">
        <f t="shared" si="45"/>
        <v>0.15</v>
      </c>
      <c r="J75" s="41">
        <f t="shared" si="37"/>
        <v>1004</v>
      </c>
      <c r="K75" s="35">
        <f t="shared" si="27"/>
        <v>23.438942655715262</v>
      </c>
      <c r="L75" s="35">
        <f t="shared" si="38"/>
        <v>1270.0499542778916</v>
      </c>
      <c r="M75" s="8">
        <f t="shared" si="39"/>
        <v>1347.070674880219</v>
      </c>
      <c r="N75" s="9">
        <f t="shared" si="44"/>
        <v>190.04995427789163</v>
      </c>
      <c r="O75" s="9">
        <f t="shared" si="42"/>
        <v>267.07067488021903</v>
      </c>
      <c r="P75" s="8">
        <f t="shared" si="40"/>
        <v>188.13949804017381</v>
      </c>
      <c r="Q75" s="9">
        <f t="shared" si="41"/>
        <v>2.5731905190538273</v>
      </c>
      <c r="R75" s="7"/>
    </row>
    <row r="76" spans="1:18">
      <c r="A76" s="167">
        <f t="shared" si="30"/>
        <v>1035</v>
      </c>
      <c r="B76" s="81">
        <v>37561</v>
      </c>
      <c r="C76" s="4">
        <f t="shared" si="31"/>
        <v>305</v>
      </c>
      <c r="D76" s="28">
        <f t="shared" si="32"/>
        <v>-14.462239926466959</v>
      </c>
      <c r="E76" s="29">
        <f t="shared" si="33"/>
        <v>16.405497459948663</v>
      </c>
      <c r="F76" s="3">
        <f t="shared" si="34"/>
        <v>-0.14316497060970421</v>
      </c>
      <c r="G76" s="55">
        <f t="shared" si="43"/>
        <v>-0.45115436287218297</v>
      </c>
      <c r="H76" s="56">
        <f t="shared" si="35"/>
        <v>37561</v>
      </c>
      <c r="I76" s="42">
        <f t="shared" si="45"/>
        <v>0.15</v>
      </c>
      <c r="J76" s="41">
        <f t="shared" si="37"/>
        <v>1035</v>
      </c>
      <c r="K76" s="35">
        <f t="shared" si="27"/>
        <v>23.43893162217659</v>
      </c>
      <c r="L76" s="35">
        <f t="shared" si="38"/>
        <v>1300.6050225872689</v>
      </c>
      <c r="M76" s="8">
        <f t="shared" si="39"/>
        <v>1377.6242833675565</v>
      </c>
      <c r="N76" s="9">
        <f t="shared" si="44"/>
        <v>220.60502258726888</v>
      </c>
      <c r="O76" s="9">
        <f t="shared" si="42"/>
        <v>297.62428336755647</v>
      </c>
      <c r="P76" s="8">
        <f t="shared" si="40"/>
        <v>218.89188625420451</v>
      </c>
      <c r="Q76" s="9">
        <f t="shared" si="41"/>
        <v>4.1013743649871657</v>
      </c>
      <c r="R76" s="7"/>
    </row>
    <row r="77" spans="1:18">
      <c r="A77" s="167">
        <f t="shared" si="30"/>
        <v>1065</v>
      </c>
      <c r="B77" s="81">
        <v>37591</v>
      </c>
      <c r="C77" s="4">
        <f t="shared" si="31"/>
        <v>335</v>
      </c>
      <c r="D77" s="28">
        <f t="shared" si="32"/>
        <v>-21.817154235870575</v>
      </c>
      <c r="E77" s="29">
        <f t="shared" si="33"/>
        <v>11.003752948459946</v>
      </c>
      <c r="F77" s="3">
        <f t="shared" si="34"/>
        <v>-9.6025857875305404E-2</v>
      </c>
      <c r="G77" s="55">
        <f t="shared" si="43"/>
        <v>-0.70025342394403944</v>
      </c>
      <c r="H77" s="56">
        <f t="shared" si="35"/>
        <v>37591</v>
      </c>
      <c r="I77" s="42">
        <f t="shared" si="45"/>
        <v>0.15</v>
      </c>
      <c r="J77" s="41">
        <f t="shared" si="37"/>
        <v>1065</v>
      </c>
      <c r="K77" s="35">
        <f t="shared" si="27"/>
        <v>23.438920944558522</v>
      </c>
      <c r="L77" s="35">
        <f t="shared" si="38"/>
        <v>1330.1744435318274</v>
      </c>
      <c r="M77" s="8">
        <f t="shared" si="39"/>
        <v>1407.192291581109</v>
      </c>
      <c r="N77" s="9">
        <f t="shared" si="44"/>
        <v>250.17444353182736</v>
      </c>
      <c r="O77" s="9">
        <f t="shared" si="42"/>
        <v>327.19229158110898</v>
      </c>
      <c r="P77" s="8">
        <f t="shared" si="40"/>
        <v>249.11863986018673</v>
      </c>
      <c r="Q77" s="9">
        <f t="shared" si="41"/>
        <v>2.7509382371149864</v>
      </c>
      <c r="R77" s="7"/>
    </row>
    <row r="78" spans="1:18">
      <c r="A78" s="167">
        <f t="shared" si="30"/>
        <v>1085</v>
      </c>
      <c r="B78" s="82">
        <v>37611</v>
      </c>
      <c r="C78" s="4">
        <f t="shared" si="31"/>
        <v>355</v>
      </c>
      <c r="D78" s="28">
        <f t="shared" si="32"/>
        <v>-23.437747056963104</v>
      </c>
      <c r="E78" s="29">
        <f t="shared" si="33"/>
        <v>1.9703160936736017</v>
      </c>
      <c r="F78" s="3">
        <f t="shared" si="34"/>
        <v>-1.7194251276516373E-2</v>
      </c>
      <c r="G78" s="54">
        <f t="shared" si="43"/>
        <v>-0.75833210143282381</v>
      </c>
      <c r="H78" s="57">
        <f t="shared" si="35"/>
        <v>37611</v>
      </c>
      <c r="I78" s="42">
        <f t="shared" si="45"/>
        <v>0.15</v>
      </c>
      <c r="J78" s="41">
        <f t="shared" si="37"/>
        <v>1085</v>
      </c>
      <c r="K78" s="36">
        <f t="shared" si="27"/>
        <v>23.438913826146475</v>
      </c>
      <c r="L78" s="36">
        <f t="shared" si="38"/>
        <v>1349.8873908281998</v>
      </c>
      <c r="M78" s="37">
        <f t="shared" si="39"/>
        <v>1426.9042970568105</v>
      </c>
      <c r="N78" s="38">
        <f>IF(L78&gt;0,L78-FLOOR(L78,360),L78+CEILING(-L78,360))</f>
        <v>269.88739082819984</v>
      </c>
      <c r="O78" s="9">
        <f t="shared" si="42"/>
        <v>346.90429705681049</v>
      </c>
      <c r="P78" s="8">
        <f t="shared" si="40"/>
        <v>269.44466603359336</v>
      </c>
      <c r="Q78" s="38">
        <f t="shared" si="41"/>
        <v>0.49257902341840043</v>
      </c>
      <c r="R78" s="7"/>
    </row>
    <row r="79" spans="1:18" ht="15.75" thickBot="1">
      <c r="B79" s="165"/>
      <c r="C79" s="275">
        <v>366</v>
      </c>
      <c r="D79" s="272">
        <f>D$63</f>
        <v>-22.991633987675449</v>
      </c>
      <c r="E79" s="273">
        <f>E$63</f>
        <v>-3.536725508672915</v>
      </c>
      <c r="F79" s="8">
        <f>F$63</f>
        <v>3.0863751906327962E-2</v>
      </c>
      <c r="G79" s="274">
        <f>G$63</f>
        <v>-0.74220666306230432</v>
      </c>
      <c r="H79" s="164"/>
      <c r="I79" s="39"/>
      <c r="J79" s="34">
        <f>DATEVALUE($D$20)-DATE(2000,1,1)</f>
        <v>4967</v>
      </c>
      <c r="K79" s="35">
        <f t="shared" si="27"/>
        <v>23.437532142368241</v>
      </c>
      <c r="L79" s="35">
        <f t="shared" si="38"/>
        <v>5176.1704610540719</v>
      </c>
      <c r="M79" s="8">
        <f>35999.05/36525*J79+357.528</f>
        <v>5253.0045598904862</v>
      </c>
      <c r="N79" s="9">
        <f t="shared" si="44"/>
        <v>136.17046105407189</v>
      </c>
      <c r="O79" s="9">
        <f t="shared" si="42"/>
        <v>213.00455989048623</v>
      </c>
      <c r="P79" s="8">
        <f t="shared" si="40"/>
        <v>135.14562169106657</v>
      </c>
      <c r="Q79" s="40">
        <f t="shared" si="41"/>
        <v>-1.4405899729758744</v>
      </c>
      <c r="R79" s="7"/>
    </row>
    <row r="80" spans="1:18">
      <c r="B80" s="338" t="str">
        <f>IF($C$7,"EoT and Declination  -  ","Deklination und Zeitgleichung  -  ")</f>
        <v xml:space="preserve">EoT and Declination  -  </v>
      </c>
      <c r="C80" s="339"/>
      <c r="D80" s="339"/>
      <c r="E80" s="339"/>
      <c r="F80" s="342" t="str">
        <f>$T$23</f>
        <v xml:space="preserve">Calculation for </v>
      </c>
      <c r="G80" s="342"/>
      <c r="H80" s="334">
        <f>$U$23</f>
        <v>2013</v>
      </c>
      <c r="I80" s="334"/>
      <c r="J80" s="334"/>
      <c r="K80" s="334"/>
      <c r="L80" s="334"/>
      <c r="M80" s="334"/>
      <c r="N80" s="335"/>
      <c r="O80" s="9"/>
      <c r="P80" s="8"/>
      <c r="Q80" s="40"/>
      <c r="R80" s="7"/>
    </row>
    <row r="81" spans="2:18">
      <c r="B81" s="340"/>
      <c r="C81" s="341"/>
      <c r="D81" s="341"/>
      <c r="E81" s="341"/>
      <c r="F81" s="343"/>
      <c r="G81" s="343"/>
      <c r="H81" s="336"/>
      <c r="I81" s="336"/>
      <c r="J81" s="336"/>
      <c r="K81" s="336"/>
      <c r="L81" s="336"/>
      <c r="M81" s="336"/>
      <c r="N81" s="337"/>
      <c r="O81" s="9"/>
      <c r="P81" s="8"/>
      <c r="Q81" s="40"/>
      <c r="R81" s="7"/>
    </row>
    <row r="82" spans="2:18">
      <c r="B82" s="118" t="str">
        <f>$C$62</f>
        <v>Day (Date)</v>
      </c>
      <c r="C82" s="117">
        <f>$S25</f>
        <v>41275</v>
      </c>
      <c r="D82" s="111">
        <f>$S26</f>
        <v>41285</v>
      </c>
      <c r="E82" s="112">
        <f>$S27</f>
        <v>41295</v>
      </c>
      <c r="F82" s="113">
        <f>$S28</f>
        <v>41306</v>
      </c>
      <c r="G82" s="111">
        <f>$S29</f>
        <v>41316</v>
      </c>
      <c r="H82" s="112">
        <f>$S30</f>
        <v>41326</v>
      </c>
      <c r="I82" s="113">
        <f>$S31</f>
        <v>41334</v>
      </c>
      <c r="J82" s="111">
        <f>$S32</f>
        <v>41344</v>
      </c>
      <c r="K82" s="112">
        <f>$S33</f>
        <v>41354</v>
      </c>
      <c r="L82" s="113">
        <f>$S34</f>
        <v>41365</v>
      </c>
      <c r="M82" s="111">
        <f>$S35</f>
        <v>41375</v>
      </c>
      <c r="N82" s="119">
        <f>$S36</f>
        <v>41385</v>
      </c>
      <c r="O82" s="9"/>
      <c r="P82" s="8"/>
      <c r="Q82" s="40"/>
      <c r="R82" s="7"/>
    </row>
    <row r="83" spans="2:18">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c r="B85" s="110"/>
      <c r="C85" s="7"/>
      <c r="D85" s="7"/>
      <c r="E85" s="7"/>
      <c r="F85" s="7"/>
      <c r="G85" s="7"/>
      <c r="H85" s="7"/>
      <c r="I85" s="7"/>
      <c r="J85" s="7"/>
      <c r="K85" s="7"/>
      <c r="L85" s="7"/>
      <c r="M85" s="7"/>
      <c r="N85" s="65"/>
      <c r="O85" s="9"/>
      <c r="P85" s="8"/>
      <c r="Q85" s="40"/>
      <c r="R85" s="7"/>
    </row>
    <row r="86" spans="2:18">
      <c r="B86" s="118" t="str">
        <f>B82</f>
        <v>Day (Date)</v>
      </c>
      <c r="C86" s="117">
        <f>$S37</f>
        <v>41395</v>
      </c>
      <c r="D86" s="111">
        <f>$S38</f>
        <v>41405</v>
      </c>
      <c r="E86" s="112">
        <f>$S39</f>
        <v>41415</v>
      </c>
      <c r="F86" s="113">
        <f>$S40</f>
        <v>41426</v>
      </c>
      <c r="G86" s="111">
        <f>$S41</f>
        <v>41436</v>
      </c>
      <c r="H86" s="112">
        <f>$S42</f>
        <v>41446</v>
      </c>
      <c r="I86" s="113">
        <f>$S43</f>
        <v>41456</v>
      </c>
      <c r="J86" s="111">
        <f>$S44</f>
        <v>41466</v>
      </c>
      <c r="K86" s="112">
        <f>$S45</f>
        <v>41476</v>
      </c>
      <c r="L86" s="113">
        <f>$S46</f>
        <v>41487</v>
      </c>
      <c r="M86" s="111">
        <f>$S47</f>
        <v>41497</v>
      </c>
      <c r="N86" s="119">
        <f>$S48</f>
        <v>41507</v>
      </c>
      <c r="O86" s="9"/>
      <c r="P86" s="8"/>
      <c r="Q86" s="40"/>
      <c r="R86" s="7"/>
    </row>
    <row r="87" spans="2:18">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c r="B89" s="110"/>
      <c r="C89" s="7"/>
      <c r="D89" s="7"/>
      <c r="E89" s="7"/>
      <c r="F89" s="7"/>
      <c r="G89" s="7"/>
      <c r="H89" s="7"/>
      <c r="I89" s="7"/>
      <c r="J89" s="7"/>
      <c r="K89" s="7"/>
      <c r="L89" s="7"/>
      <c r="M89" s="7"/>
      <c r="N89" s="65"/>
      <c r="O89" s="9"/>
      <c r="P89" s="8"/>
      <c r="Q89" s="40"/>
      <c r="R89" s="7"/>
    </row>
    <row r="90" spans="2:18">
      <c r="B90" s="118" t="str">
        <f>B86</f>
        <v>Day (Date)</v>
      </c>
      <c r="C90" s="117">
        <f>$S49</f>
        <v>41518</v>
      </c>
      <c r="D90" s="111">
        <f>$S50</f>
        <v>41528</v>
      </c>
      <c r="E90" s="112">
        <f>$S51</f>
        <v>41538</v>
      </c>
      <c r="F90" s="113">
        <f>$S52</f>
        <v>41548</v>
      </c>
      <c r="G90" s="111">
        <f>S$53</f>
        <v>41558</v>
      </c>
      <c r="H90" s="112">
        <f>$S54</f>
        <v>41568</v>
      </c>
      <c r="I90" s="113">
        <f>$S55</f>
        <v>41579</v>
      </c>
      <c r="J90" s="111">
        <f>$S56</f>
        <v>41589</v>
      </c>
      <c r="K90" s="112">
        <f>$S57</f>
        <v>41599</v>
      </c>
      <c r="L90" s="113">
        <f>$S58</f>
        <v>41609</v>
      </c>
      <c r="M90" s="111">
        <f>$S59</f>
        <v>41619</v>
      </c>
      <c r="N90" s="119">
        <f>$S60</f>
        <v>41629</v>
      </c>
      <c r="O90" s="9"/>
      <c r="P90" s="8"/>
      <c r="Q90" s="40"/>
      <c r="R90" s="7"/>
    </row>
    <row r="91" spans="2:18">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c r="B93" s="123"/>
      <c r="C93" s="123"/>
      <c r="D93" s="123"/>
      <c r="E93" s="123"/>
      <c r="F93" s="123"/>
      <c r="G93" s="123"/>
      <c r="H93" s="123"/>
      <c r="I93" s="123"/>
      <c r="J93" s="123"/>
      <c r="K93" s="123"/>
      <c r="L93" s="123"/>
      <c r="M93" s="123"/>
      <c r="N93" s="123"/>
      <c r="O93" s="9"/>
      <c r="P93" s="8"/>
      <c r="Q93" s="40"/>
      <c r="R93" s="7"/>
    </row>
    <row r="94" spans="2:18" ht="15.75" thickBot="1">
      <c r="B94" s="10"/>
      <c r="C94" s="10"/>
      <c r="G94" s="24"/>
      <c r="H94" s="4"/>
      <c r="I94" s="3"/>
      <c r="J94" s="10"/>
      <c r="K94" s="10"/>
      <c r="R94" s="7"/>
    </row>
    <row r="95" spans="2:18">
      <c r="B95" s="61"/>
      <c r="C95" s="347" t="str">
        <f>IF($C$7,"Shadow Lengths at Noon","Schattenlänge zu Mittag")</f>
        <v>Shadow Lengths at Noon</v>
      </c>
      <c r="D95" s="347"/>
      <c r="E95" s="347"/>
      <c r="F95" s="346" t="str">
        <f>IF($C$7,"y-value of Shadow End at Noon","y-Wert des Schattens zu Mittag")</f>
        <v>y-value of Shadow End at Noon</v>
      </c>
      <c r="G95" s="347"/>
      <c r="H95" s="348"/>
      <c r="I95" s="9"/>
      <c r="J95" s="253"/>
      <c r="K95" s="8"/>
      <c r="L95" s="256" t="s">
        <v>49</v>
      </c>
      <c r="M95" s="257"/>
      <c r="N95" s="258"/>
    </row>
    <row r="96" spans="2:18" s="12" customFormat="1">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c r="B97" s="64">
        <f>$C$17</f>
        <v>2</v>
      </c>
      <c r="C97" s="7">
        <f>$B97/TAN((90-$C$9+$D$19+23.44)*$J$1)*SIN($K$18)+$B97*COS($K$18)</f>
        <v>0.19469212378876879</v>
      </c>
      <c r="D97" s="7">
        <f>$B97/TAN((90-$C$9+$D$19)*$J$1)*SIN($K$18)+$B97*COS($K$18)</f>
        <v>1.1086181029055382</v>
      </c>
      <c r="E97" s="7">
        <f>$B97/TAN((90-$C$9+$D$19-23.44)*$J$1)*SIN($K$18)+$B97*COS($K$18)</f>
        <v>2.6008069377715728</v>
      </c>
      <c r="F97" s="60">
        <f>$C97-$G$78</f>
        <v>0.95302422522159258</v>
      </c>
      <c r="G97" s="7">
        <f>D97</f>
        <v>1.1086181029055382</v>
      </c>
      <c r="H97" s="65">
        <f>$E97+$G$78</f>
        <v>1.8424748363387491</v>
      </c>
      <c r="I97" s="254" t="s">
        <v>22</v>
      </c>
      <c r="J97" s="255">
        <f>-$C$15</f>
        <v>-2</v>
      </c>
      <c r="K97" s="255">
        <v>0</v>
      </c>
      <c r="L97" s="261">
        <v>23.44</v>
      </c>
      <c r="M97" s="40">
        <f>ACOS(SIN($L$97*$J$1)/COS($J$9))/$J$1</f>
        <v>62.947090079765054</v>
      </c>
      <c r="N97" s="262">
        <f>TAN($L97*$J$1)*COS($C$9*$J$1)*$C$15*TAN($M97*$J$1)</f>
        <v>1.4850790318553806</v>
      </c>
    </row>
    <row r="98" spans="2:14">
      <c r="B98" s="66">
        <v>1.6</v>
      </c>
      <c r="C98" s="7">
        <f>$B98/TAN((90-$C$9+$D$19+23.44)*$J$1)*SIN($K$18)+$B98*COS($K$18)</f>
        <v>0.15575369903101507</v>
      </c>
      <c r="D98" s="7">
        <f>$B98/TAN((90-$C$9+$D$19)*$J$1)*SIN($K$18)+$B98*COS($K$18)</f>
        <v>0.88689448232443058</v>
      </c>
      <c r="E98" s="7">
        <f>$B98/TAN((90-$C$9+$D$19-23.44)*$J$1)*SIN($K$18)+$B98*COS($K$18)</f>
        <v>2.0806455502172585</v>
      </c>
      <c r="F98" s="60">
        <f>$C98-$G$78</f>
        <v>0.91408580046383892</v>
      </c>
      <c r="G98" s="7">
        <f>D98</f>
        <v>0.88689448232443058</v>
      </c>
      <c r="H98" s="65">
        <f>$E98+$G$78</f>
        <v>1.3223134487844348</v>
      </c>
      <c r="I98" s="254"/>
      <c r="J98" s="255"/>
      <c r="K98" s="255"/>
      <c r="L98" s="261">
        <v>1E-4</v>
      </c>
      <c r="M98" s="40">
        <f>ACOS(SIN($L$98*$J$1)/COS($J$9))/DATA!$J$1</f>
        <v>89.999885664593208</v>
      </c>
      <c r="N98" s="262">
        <f>TAN($L98*$J$1)*COS($C$9*$J$1)*$C$15*TAN($M98*$J$1)</f>
        <v>1.5299192642017896</v>
      </c>
    </row>
    <row r="99" spans="2:14">
      <c r="B99" s="66">
        <v>1.8</v>
      </c>
      <c r="C99" s="7">
        <f>$B99/TAN((90-$C$9+$D$19+23.44)*$J$1)*SIN($K$18)+$B99*COS($K$18)</f>
        <v>0.17522291140989193</v>
      </c>
      <c r="D99" s="7">
        <f>$B99/TAN((90-$C$9+$D$19)*$J$1)*SIN($K$18)+$B99*COS($K$18)</f>
        <v>0.99775629261498433</v>
      </c>
      <c r="E99" s="7">
        <f>$B99/TAN((90-$C$9+$D$19-23.44)*$J$1)*SIN($K$18)+$B99*COS($K$18)</f>
        <v>2.3407262439944159</v>
      </c>
      <c r="F99" s="60">
        <f>$C99-$G$78</f>
        <v>0.93355501284271569</v>
      </c>
      <c r="G99" s="7">
        <f>D99</f>
        <v>0.99775629261498433</v>
      </c>
      <c r="H99" s="65">
        <f>$E99+$G$78</f>
        <v>1.5823941425615922</v>
      </c>
      <c r="I99" s="254" t="s">
        <v>23</v>
      </c>
      <c r="J99" s="255">
        <v>0</v>
      </c>
      <c r="K99" s="255">
        <f>$C$16</f>
        <v>0.96961924049267423</v>
      </c>
      <c r="L99" s="263"/>
      <c r="M99" s="40"/>
      <c r="N99" s="260"/>
    </row>
    <row r="100" spans="2:14" ht="15.75" thickBot="1">
      <c r="B100" s="67">
        <v>2</v>
      </c>
      <c r="C100" s="195">
        <f>$B100/TAN((90-$C$9+$D$19+23.44)*$J$1)*SIN($K$18)+$B100*COS($K$18)</f>
        <v>0.19469212378876879</v>
      </c>
      <c r="D100" s="196">
        <f>$B100/TAN((90-$C$9+$D$19)*$J$1)*SIN($K$18)+$B100*COS($K$18)</f>
        <v>1.1086181029055382</v>
      </c>
      <c r="E100" s="197">
        <f>$B100/TAN((90-$C$9+$D$19-23.44)*$J$1)*SIN($K$18)+$B100*COS($K$18)</f>
        <v>2.6008069377715728</v>
      </c>
      <c r="F100" s="68">
        <f>$C100-$G$78</f>
        <v>0.95302422522159258</v>
      </c>
      <c r="G100" s="45">
        <f>D100</f>
        <v>1.1086181029055382</v>
      </c>
      <c r="H100" s="69">
        <f>$E100+$G$78</f>
        <v>1.8424748363387491</v>
      </c>
      <c r="I100" s="254" t="s">
        <v>22</v>
      </c>
      <c r="J100" s="255">
        <v>0</v>
      </c>
      <c r="K100" s="255">
        <f>-$C$16</f>
        <v>-0.96961924049267423</v>
      </c>
      <c r="L100" s="263" t="s">
        <v>45</v>
      </c>
      <c r="M100" s="40"/>
      <c r="N100" s="260">
        <f>N98-N97</f>
        <v>4.4840232346408992E-2</v>
      </c>
    </row>
    <row r="101" spans="2:14">
      <c r="I101" s="9"/>
      <c r="J101" s="181"/>
      <c r="K101" s="181"/>
      <c r="L101" s="263"/>
      <c r="M101" s="40" t="s">
        <v>44</v>
      </c>
      <c r="N101" s="260">
        <f>(N97+N98)/2</f>
        <v>1.5074991480285851</v>
      </c>
    </row>
    <row r="102" spans="2:14">
      <c r="I102" s="9"/>
      <c r="J102" s="181"/>
      <c r="K102" s="181"/>
      <c r="L102" s="263" t="s">
        <v>43</v>
      </c>
      <c r="M102" s="40"/>
      <c r="N102" s="260"/>
    </row>
    <row r="103" spans="2:14">
      <c r="I103" s="9"/>
      <c r="J103" s="181"/>
      <c r="K103" s="181"/>
      <c r="L103" s="263" t="s">
        <v>42</v>
      </c>
      <c r="M103" s="40">
        <v>10</v>
      </c>
      <c r="N103" s="260"/>
    </row>
    <row r="104" spans="2:14">
      <c r="B104" s="183" t="str">
        <f>IF($C$7,"Azimuth for Rise/Set :","Azimut für Auf- / Untergang :")</f>
        <v>Azimuth for Rise/Set :</v>
      </c>
      <c r="C104" s="105"/>
      <c r="D104" s="106" t="s">
        <v>17</v>
      </c>
      <c r="E104" s="105"/>
      <c r="F104" s="105"/>
      <c r="G104" s="345" t="s">
        <v>10</v>
      </c>
      <c r="H104" s="355"/>
      <c r="I104" s="9"/>
      <c r="J104" s="181"/>
      <c r="K104" s="181"/>
      <c r="L104" s="263" t="s">
        <v>41</v>
      </c>
      <c r="M104" s="40">
        <v>31</v>
      </c>
      <c r="N104" s="260"/>
    </row>
    <row r="105" spans="2:14">
      <c r="B105" s="331" t="str">
        <f>IF($C$7,"Rise/Set Marks for Declination","Auf-/Untergang für Deklination")</f>
        <v>Rise/Set Marks for Declination</v>
      </c>
      <c r="C105" s="332"/>
      <c r="D105" s="184">
        <f>$D$21</f>
        <v>-23.44</v>
      </c>
      <c r="E105" s="345"/>
      <c r="F105" s="345"/>
      <c r="G105" s="105">
        <v>0</v>
      </c>
      <c r="H105" s="185">
        <f>TAN(D105*$J$1)*SIN(($K$18-$J$9))*$C$15/SIN($K$18)</f>
        <v>-0.75841381213164138</v>
      </c>
      <c r="I105" s="9"/>
      <c r="J105" s="181">
        <f>$I$78</f>
        <v>0.15</v>
      </c>
      <c r="K105" s="181">
        <f>$G$78</f>
        <v>-0.75833210143282381</v>
      </c>
      <c r="L105" s="263" t="s">
        <v>40</v>
      </c>
      <c r="M105" s="40">
        <v>30</v>
      </c>
      <c r="N105" s="260"/>
    </row>
    <row r="106" spans="2:14">
      <c r="B106" s="60" t="str">
        <f>IF($C$7,"Azimuth (from North)","Azimut (von Norden)")</f>
        <v>Azimuth (from North)</v>
      </c>
      <c r="C106" s="7"/>
      <c r="D106" s="7">
        <f>ACOS(SIN($D$105*$J$1)/COS($C$9*$J$1))/$J$1</f>
        <v>117.05290992023494</v>
      </c>
      <c r="E106" s="344" t="str">
        <f>IF($C$7,"SunsetMark","Untergangspunkt")</f>
        <v>SunsetMark</v>
      </c>
      <c r="F106" s="344"/>
      <c r="G106" s="7">
        <f>$G$21</f>
        <v>1.4850790318553813</v>
      </c>
      <c r="H106" s="107">
        <v>0</v>
      </c>
      <c r="I106" s="9"/>
      <c r="J106" s="181">
        <f>$I$63</f>
        <v>-0.15</v>
      </c>
      <c r="K106" s="181">
        <f>$G$78</f>
        <v>-0.75833210143282381</v>
      </c>
      <c r="L106" s="263" t="s">
        <v>39</v>
      </c>
      <c r="M106" s="40">
        <v>21</v>
      </c>
      <c r="N106" s="260"/>
    </row>
    <row r="107" spans="2:14">
      <c r="B107" s="60" t="str">
        <f>IF($C$7,"Angle with horiz. East/West-direction","Winkel zur horiz. O/W-Richtung")</f>
        <v>Angle with horiz. East/West-direction</v>
      </c>
      <c r="C107" s="7"/>
      <c r="D107" s="7">
        <f>90-D106</f>
        <v>-27.052909920234939</v>
      </c>
      <c r="E107" s="344"/>
      <c r="F107" s="344"/>
      <c r="G107" s="7">
        <v>0</v>
      </c>
      <c r="H107" s="107">
        <f>-H105</f>
        <v>0.75841381213164138</v>
      </c>
      <c r="I107" s="9"/>
      <c r="J107" s="181">
        <f>$I$63</f>
        <v>-0.15</v>
      </c>
      <c r="K107" s="181">
        <f>-$G$78</f>
        <v>0.75833210143282381</v>
      </c>
      <c r="L107" s="263" t="s">
        <v>38</v>
      </c>
      <c r="M107" s="40">
        <v>10</v>
      </c>
      <c r="N107" s="260"/>
    </row>
    <row r="108" spans="2:14">
      <c r="B108" s="60" t="str">
        <f>IF($C$7,"SeasonMarker on E/W-axis","Auf-/ Untergangspunkt (x-Achse)")</f>
        <v>SeasonMarker on E/W-axis</v>
      </c>
      <c r="C108" s="7"/>
      <c r="D108" s="7">
        <f>$D$109*COS($D$19*$J$1)/TAN(D107*$J$1)</f>
        <v>1.4850790318553813</v>
      </c>
      <c r="E108" s="344" t="str">
        <f>IF($C$7,"SunriseMark","Aufgangspunkt")</f>
        <v>SunriseMark</v>
      </c>
      <c r="F108" s="344"/>
      <c r="G108" s="7">
        <f>-$G$21</f>
        <v>-1.4850790318553813</v>
      </c>
      <c r="H108" s="107">
        <v>0</v>
      </c>
      <c r="I108" s="9"/>
      <c r="J108" s="181">
        <f>$I$78</f>
        <v>0.15</v>
      </c>
      <c r="K108" s="181">
        <f>-$G$78</f>
        <v>0.75833210143282381</v>
      </c>
      <c r="L108" s="263" t="s">
        <v>37</v>
      </c>
      <c r="M108" s="40">
        <v>30.5</v>
      </c>
      <c r="N108" s="260"/>
    </row>
    <row r="109" spans="2:14">
      <c r="B109" s="108" t="str">
        <f>IF($C$7,"Date Point on y-Axis","Datumspunkt auf y-Achse")</f>
        <v>Date Point on y-Axis</v>
      </c>
      <c r="C109" s="89"/>
      <c r="D109" s="89">
        <f>$C$15*TAN($D$21*$J$1)*SIN(($K$18-$J$9))/SIN($K$18)</f>
        <v>-0.75841381213164138</v>
      </c>
      <c r="E109" s="333"/>
      <c r="F109" s="333"/>
      <c r="G109" s="89">
        <v>0</v>
      </c>
      <c r="H109" s="109">
        <f>$H$105</f>
        <v>-0.75841381213164138</v>
      </c>
      <c r="I109" s="9"/>
      <c r="J109" s="181">
        <f>$I$78</f>
        <v>0.15</v>
      </c>
      <c r="K109" s="181">
        <f>$G$78</f>
        <v>-0.75833210143282381</v>
      </c>
      <c r="L109" s="263" t="s">
        <v>36</v>
      </c>
      <c r="M109" s="40">
        <v>30.5</v>
      </c>
      <c r="N109" s="260"/>
    </row>
    <row r="110" spans="2:14" ht="15.75" thickBot="1">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c r="B111" s="194" t="str">
        <f>IF($C$7,"Shadow ends at :","Schattengrenze bei :")</f>
        <v>Shadow ends at :</v>
      </c>
      <c r="C111" s="194"/>
      <c r="D111" s="194">
        <f>IF($D$19&lt;&gt;0,$G$17+$C$17*SIN($D$18*$J$1)/SIN($D$19*$J$1),100)</f>
        <v>100</v>
      </c>
      <c r="E111" s="194">
        <v>-4</v>
      </c>
    </row>
    <row r="112" spans="2:14">
      <c r="B112" s="194"/>
      <c r="C112" s="194"/>
      <c r="D112" s="194">
        <f>D111</f>
        <v>100</v>
      </c>
      <c r="E112" s="194">
        <v>4</v>
      </c>
    </row>
  </sheetData>
  <mergeCells count="44">
    <mergeCell ref="AJ22:AP22"/>
    <mergeCell ref="AJ23:AP23"/>
    <mergeCell ref="G104:H104"/>
    <mergeCell ref="K25:M25"/>
    <mergeCell ref="I24:I25"/>
    <mergeCell ref="J24:J2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E16:F16"/>
    <mergeCell ref="E17:F17"/>
    <mergeCell ref="B4:D4"/>
    <mergeCell ref="E1:H4"/>
    <mergeCell ref="E5:H5"/>
    <mergeCell ref="B5:D5"/>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control shapeId="43027" r:id="rId4" name="Control 19"/>
    <control shapeId="43026" r:id="rId5" name="Control 18"/>
    <control shapeId="43025" r:id="rId6" name="CommandButton1"/>
  </controls>
</worksheet>
</file>

<file path=xl/worksheets/sheet2.xml><?xml version="1.0" encoding="utf-8"?>
<worksheet xmlns="http://schemas.openxmlformats.org/spreadsheetml/2006/main" xmlns:r="http://schemas.openxmlformats.org/officeDocument/2006/relationships">
  <sheetPr codeName="Tabelle2">
    <pageSetUpPr fitToPage="1"/>
  </sheetPr>
  <dimension ref="A1:G26"/>
  <sheetViews>
    <sheetView workbookViewId="0">
      <selection activeCell="D28" sqref="D28"/>
    </sheetView>
  </sheetViews>
  <sheetFormatPr baseColWidth="10" defaultColWidth="10.6640625" defaultRowHeight="15"/>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c r="A1" s="239"/>
      <c r="B1" s="218"/>
      <c r="C1" s="70"/>
      <c r="D1" s="70"/>
      <c r="E1" s="70"/>
      <c r="F1" s="70"/>
      <c r="G1" s="70"/>
    </row>
    <row r="2" spans="1:7" ht="11.45" customHeight="1">
      <c r="A2" s="240"/>
      <c r="B2" s="219"/>
      <c r="C2" s="70"/>
      <c r="D2" s="70"/>
      <c r="E2" s="70"/>
      <c r="F2" s="70"/>
      <c r="G2" s="70"/>
    </row>
    <row r="3" spans="1:7" ht="13.15" customHeight="1">
      <c r="A3" s="240"/>
      <c r="B3" s="219"/>
      <c r="C3" s="70"/>
      <c r="D3" s="70"/>
      <c r="E3" s="70"/>
      <c r="F3" s="70"/>
      <c r="G3" s="70"/>
    </row>
    <row r="4" spans="1:7">
      <c r="A4" s="240"/>
      <c r="B4" s="219"/>
      <c r="C4" s="70"/>
      <c r="D4" s="70"/>
      <c r="E4" s="70"/>
      <c r="F4" s="70"/>
      <c r="G4" s="70"/>
    </row>
    <row r="5" spans="1:7">
      <c r="A5" s="240"/>
      <c r="B5" s="219"/>
      <c r="C5" s="70"/>
      <c r="D5" s="70"/>
      <c r="E5" s="70"/>
      <c r="F5" s="70"/>
      <c r="G5" s="70"/>
    </row>
    <row r="6" spans="1:7">
      <c r="A6" s="240"/>
      <c r="B6" s="219"/>
      <c r="C6" s="70"/>
      <c r="D6" s="70"/>
      <c r="E6" s="70"/>
      <c r="F6" s="70"/>
      <c r="G6" s="70"/>
    </row>
    <row r="7" spans="1:7">
      <c r="A7" s="240"/>
      <c r="B7" s="219"/>
      <c r="C7" s="70"/>
      <c r="D7" s="70"/>
      <c r="E7" s="70"/>
      <c r="F7" s="70"/>
      <c r="G7" s="70"/>
    </row>
    <row r="8" spans="1:7">
      <c r="A8" s="240"/>
      <c r="B8" s="219"/>
      <c r="C8" s="70"/>
      <c r="D8" s="70"/>
      <c r="E8" s="70"/>
      <c r="F8" s="70"/>
      <c r="G8" s="70"/>
    </row>
    <row r="9" spans="1:7">
      <c r="A9" s="240"/>
      <c r="B9" s="219"/>
      <c r="C9" s="70"/>
      <c r="D9" s="70"/>
      <c r="E9" s="70"/>
      <c r="F9" s="70"/>
      <c r="G9" s="70"/>
    </row>
    <row r="10" spans="1:7">
      <c r="A10" s="240"/>
      <c r="B10" s="219"/>
      <c r="C10" s="70"/>
      <c r="D10" s="70"/>
      <c r="E10" s="70"/>
      <c r="F10" s="70"/>
      <c r="G10" s="70"/>
    </row>
    <row r="11" spans="1:7">
      <c r="A11" s="240"/>
      <c r="B11" s="219"/>
      <c r="C11" s="70"/>
      <c r="D11" s="70"/>
      <c r="E11" s="70"/>
      <c r="F11" s="70"/>
      <c r="G11" s="70"/>
    </row>
    <row r="12" spans="1:7">
      <c r="A12" s="240"/>
      <c r="B12" s="219"/>
      <c r="C12" s="70"/>
      <c r="D12" s="70"/>
      <c r="E12" s="70"/>
      <c r="F12" s="70"/>
      <c r="G12" s="70"/>
    </row>
    <row r="13" spans="1:7">
      <c r="A13" s="240"/>
      <c r="B13" s="219"/>
      <c r="C13" s="70"/>
      <c r="D13" s="70"/>
      <c r="E13" s="70"/>
      <c r="F13" s="70"/>
      <c r="G13" s="70"/>
    </row>
    <row r="14" spans="1:7">
      <c r="A14" s="240"/>
      <c r="B14" s="219"/>
      <c r="C14" s="70"/>
      <c r="D14" s="70"/>
      <c r="E14" s="70"/>
      <c r="F14" s="70"/>
      <c r="G14" s="70"/>
    </row>
    <row r="15" spans="1:7">
      <c r="A15" s="240"/>
      <c r="B15" s="219"/>
      <c r="C15" s="70"/>
      <c r="D15" s="70"/>
      <c r="E15" s="70"/>
      <c r="F15" s="70"/>
      <c r="G15" s="70"/>
    </row>
    <row r="16" spans="1:7">
      <c r="A16" s="240"/>
      <c r="B16" s="219"/>
      <c r="C16" s="70"/>
      <c r="D16" s="70"/>
      <c r="E16" s="70"/>
      <c r="F16" s="70"/>
      <c r="G16" s="70"/>
    </row>
    <row r="17" spans="1:7">
      <c r="A17" s="240"/>
      <c r="B17" s="219"/>
      <c r="C17" s="70"/>
      <c r="D17" s="70"/>
      <c r="E17" s="70"/>
      <c r="F17" s="70"/>
      <c r="G17" s="70"/>
    </row>
    <row r="18" spans="1:7">
      <c r="A18" s="240"/>
      <c r="B18" s="219"/>
      <c r="C18" s="70"/>
      <c r="D18" s="70"/>
      <c r="E18" s="70"/>
      <c r="F18" s="70"/>
      <c r="G18" s="70"/>
    </row>
    <row r="19" spans="1:7">
      <c r="A19" s="240"/>
      <c r="B19" s="219"/>
      <c r="C19" s="70"/>
      <c r="D19" s="70"/>
      <c r="E19" s="70"/>
      <c r="F19" s="70"/>
      <c r="G19" s="70"/>
    </row>
    <row r="20" spans="1:7">
      <c r="A20" s="240"/>
      <c r="B20" s="220"/>
      <c r="C20" s="70"/>
      <c r="D20" s="70"/>
      <c r="E20" s="70"/>
      <c r="F20" s="70"/>
      <c r="G20" s="70"/>
    </row>
    <row r="21" spans="1:7">
      <c r="A21" s="240"/>
      <c r="B21" s="70"/>
      <c r="C21" s="70"/>
      <c r="D21" s="70"/>
      <c r="E21" s="70"/>
      <c r="F21" s="70"/>
      <c r="G21" s="70"/>
    </row>
    <row r="22" spans="1:7">
      <c r="A22" s="241"/>
      <c r="B22" s="30"/>
      <c r="C22" s="30"/>
      <c r="D22" s="30"/>
      <c r="E22" s="30"/>
      <c r="F22" s="30"/>
      <c r="G22" s="30"/>
    </row>
    <row r="23" spans="1:7">
      <c r="A23" s="242"/>
      <c r="B23" s="30"/>
      <c r="C23" s="30"/>
      <c r="D23" s="30"/>
      <c r="E23" s="30"/>
      <c r="F23" s="30"/>
      <c r="G23" s="30"/>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pageSetUpPr fitToPage="1"/>
  </sheetPr>
  <dimension ref="A1:B20"/>
  <sheetViews>
    <sheetView workbookViewId="0"/>
  </sheetViews>
  <sheetFormatPr baseColWidth="10" defaultColWidth="10.6640625" defaultRowHeight="15"/>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c r="A1" s="237" t="s">
        <v>60</v>
      </c>
      <c r="B1" s="76" t="s">
        <v>18</v>
      </c>
    </row>
    <row r="2" spans="1:2">
      <c r="A2" s="238"/>
    </row>
    <row r="3" spans="1:2">
      <c r="A3" s="238"/>
    </row>
    <row r="4" spans="1:2">
      <c r="A4" s="238"/>
    </row>
    <row r="5" spans="1:2">
      <c r="A5" s="238"/>
    </row>
    <row r="6" spans="1:2">
      <c r="A6" s="238"/>
    </row>
    <row r="7" spans="1:2">
      <c r="A7" s="238"/>
    </row>
    <row r="8" spans="1:2">
      <c r="A8" s="238"/>
    </row>
    <row r="9" spans="1:2">
      <c r="A9" s="238"/>
    </row>
    <row r="10" spans="1:2">
      <c r="A10" s="238"/>
    </row>
    <row r="11" spans="1:2">
      <c r="A11" s="238"/>
    </row>
    <row r="12" spans="1:2">
      <c r="A12" s="238"/>
    </row>
    <row r="13" spans="1:2">
      <c r="A13" s="238"/>
    </row>
    <row r="14" spans="1:2">
      <c r="A14" s="238"/>
    </row>
    <row r="15" spans="1:2">
      <c r="A15" s="238"/>
    </row>
    <row r="16" spans="1:2">
      <c r="A16" s="238"/>
    </row>
    <row r="17" spans="1:1">
      <c r="A17" s="238"/>
    </row>
    <row r="18" spans="1:1">
      <c r="A18" s="238"/>
    </row>
    <row r="19" spans="1:1">
      <c r="A19" s="238"/>
    </row>
    <row r="20" spans="1:1">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Tabelle4">
    <pageSetUpPr fitToPage="1"/>
  </sheetPr>
  <dimension ref="A1:M35"/>
  <sheetViews>
    <sheetView zoomScale="75" workbookViewId="0">
      <selection activeCell="C4" sqref="C4"/>
    </sheetView>
  </sheetViews>
  <sheetFormatPr baseColWidth="10" defaultColWidth="8.6640625" defaultRowHeight="12.75"/>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c r="A1" s="133">
        <f>180/PI()</f>
        <v>57.295779513082323</v>
      </c>
      <c r="B1" s="133">
        <f>PI()/180</f>
        <v>1.7453292519943295E-2</v>
      </c>
      <c r="C1" s="370" t="str">
        <f>IF(DATA!$C$7,"Error of Approximation with Fixed SunriseMarker","Fehler (in Grad) bei Approximation durch fixen Auf/Untergangspunkt ")</f>
        <v>Error of Approximation with Fixed SunriseMarker</v>
      </c>
      <c r="D1" s="370"/>
      <c r="E1" s="370"/>
      <c r="F1" s="370"/>
      <c r="G1" s="370"/>
      <c r="H1" s="370"/>
      <c r="I1" s="370"/>
      <c r="J1" s="370"/>
      <c r="K1" s="370"/>
    </row>
    <row r="2" spans="1:13" ht="16.149999999999999" customHeight="1" thickBot="1">
      <c r="A2" s="375" t="str">
        <f>IF(DATA!$C$7,"Values for Error Calculation","Werte für Fehlerrechnung")</f>
        <v>Values for Error Calculation</v>
      </c>
      <c r="B2" s="376"/>
      <c r="C2" s="217"/>
      <c r="D2" s="217"/>
      <c r="E2" s="217"/>
      <c r="F2" s="217"/>
      <c r="G2" s="217"/>
      <c r="H2" s="217"/>
      <c r="I2" s="217"/>
      <c r="J2" s="217"/>
    </row>
    <row r="3" spans="1:13" ht="17.45" customHeight="1" thickBot="1">
      <c r="A3" s="161" t="str">
        <f>DATA!$B$18</f>
        <v>Gnomon Inclination =</v>
      </c>
      <c r="B3" s="155">
        <v>90</v>
      </c>
      <c r="C3" s="134">
        <f>B3*$B$1</f>
        <v>1.5707963267948966</v>
      </c>
      <c r="E3" s="133"/>
    </row>
    <row r="4" spans="1:13" ht="19.149999999999999" customHeight="1" thickBot="1">
      <c r="A4" s="160" t="str">
        <f>DATA!$B$9</f>
        <v>Latitude =</v>
      </c>
      <c r="B4" s="153">
        <v>48</v>
      </c>
      <c r="C4" s="134">
        <f>B4*$B$1</f>
        <v>0.83775804095727824</v>
      </c>
      <c r="E4" s="133"/>
    </row>
    <row r="5" spans="1:13" ht="18" customHeight="1" thickBot="1">
      <c r="A5" s="161" t="str">
        <f>DATA!$B$15</f>
        <v>E/W-SemiAxis =</v>
      </c>
      <c r="B5" s="154">
        <v>2</v>
      </c>
      <c r="C5" s="134">
        <f>B5*$B$1</f>
        <v>3.4906585039886591E-2</v>
      </c>
      <c r="E5" s="133"/>
    </row>
    <row r="6" spans="1:13" ht="28.15" customHeight="1" thickBot="1">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c r="A7" s="379" t="str">
        <f>DATA!$B$19</f>
        <v>Dial Plane - Inclination =</v>
      </c>
      <c r="B7" s="371">
        <v>0</v>
      </c>
      <c r="C7" s="149">
        <f>B7*$B$1</f>
        <v>0</v>
      </c>
      <c r="D7" s="137"/>
      <c r="E7" s="138"/>
      <c r="F7" s="139"/>
      <c r="G7" s="139"/>
      <c r="H7" s="139"/>
      <c r="L7" s="269"/>
      <c r="M7" s="137"/>
    </row>
    <row r="8" spans="1:13" ht="13.5" thickBot="1">
      <c r="A8" s="380"/>
      <c r="B8" s="372"/>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c r="A12" s="377"/>
      <c r="B12" s="378"/>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c r="A13" s="377"/>
      <c r="B13" s="378"/>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c r="A15" s="373" t="str">
        <f>IF(DATA!$C$7,"Values in tabsheet 'DATA'","Werte aus Tabelle 'DATA'")</f>
        <v>Values in tabsheet 'DATA'</v>
      </c>
      <c r="B15" s="374"/>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c r="A17" s="156" t="str">
        <f>DATA!$B$9</f>
        <v>Latitude =</v>
      </c>
      <c r="B17" s="157">
        <f>DATA!$C$9</f>
        <v>29</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c r="A20" s="381" t="str">
        <f>$A$7</f>
        <v>Dial Plane - Inclination =</v>
      </c>
      <c r="B20" s="359">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c r="A21" s="382"/>
      <c r="B21" s="360"/>
      <c r="C21" s="134"/>
      <c r="D21" s="140"/>
      <c r="E21" s="134"/>
      <c r="F21" s="141"/>
      <c r="G21" s="143"/>
      <c r="H21" s="142"/>
    </row>
    <row r="22" spans="1:13" s="144" customFormat="1">
      <c r="C22" s="361"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2"/>
      <c r="E22" s="362"/>
      <c r="F22" s="362"/>
      <c r="G22" s="362"/>
      <c r="H22" s="362"/>
      <c r="I22" s="362"/>
      <c r="J22" s="362"/>
      <c r="K22" s="363"/>
    </row>
    <row r="23" spans="1:13">
      <c r="A23" s="145"/>
      <c r="C23" s="364"/>
      <c r="D23" s="365"/>
      <c r="E23" s="365"/>
      <c r="F23" s="365"/>
      <c r="G23" s="365"/>
      <c r="H23" s="365"/>
      <c r="I23" s="365"/>
      <c r="J23" s="365"/>
      <c r="K23" s="366"/>
    </row>
    <row r="24" spans="1:13" ht="13.5" thickBot="1">
      <c r="A24" s="145"/>
      <c r="C24" s="367"/>
      <c r="D24" s="368"/>
      <c r="E24" s="368"/>
      <c r="F24" s="368"/>
      <c r="G24" s="368"/>
      <c r="H24" s="368"/>
      <c r="I24" s="368"/>
      <c r="J24" s="368"/>
      <c r="K24" s="369"/>
    </row>
    <row r="25" spans="1:13">
      <c r="A25" s="145"/>
    </row>
    <row r="26" spans="1:13">
      <c r="A26" s="145"/>
    </row>
    <row r="27" spans="1:13" ht="15.6" customHeight="1">
      <c r="A27" s="145"/>
      <c r="C27" s="268"/>
      <c r="D27" s="244"/>
      <c r="E27" s="244"/>
      <c r="F27" s="244"/>
      <c r="G27" s="244"/>
      <c r="H27" s="244"/>
      <c r="I27" s="244"/>
      <c r="J27" s="244"/>
      <c r="K27" s="244"/>
    </row>
    <row r="28" spans="1:13" ht="15" customHeight="1">
      <c r="A28" s="190"/>
      <c r="B28" s="244"/>
      <c r="C28" s="244"/>
      <c r="D28" s="244"/>
      <c r="E28" s="244"/>
      <c r="F28" s="244"/>
      <c r="G28" s="244"/>
      <c r="H28" s="244"/>
      <c r="I28" s="244"/>
      <c r="J28" s="244"/>
      <c r="K28" s="244"/>
    </row>
    <row r="29" spans="1:13" ht="15" customHeight="1">
      <c r="A29" s="145"/>
      <c r="B29" s="244"/>
      <c r="C29" s="244"/>
      <c r="D29" s="244"/>
      <c r="E29" s="244"/>
      <c r="F29" s="244"/>
      <c r="G29" s="244"/>
      <c r="H29" s="244"/>
      <c r="I29" s="244"/>
      <c r="J29" s="244"/>
      <c r="K29" s="244"/>
    </row>
    <row r="30" spans="1:13">
      <c r="A30" s="145"/>
      <c r="B30" s="267"/>
      <c r="C30" s="267"/>
      <c r="D30" s="267"/>
      <c r="E30" s="267"/>
      <c r="F30" s="267"/>
      <c r="G30" s="267"/>
      <c r="H30" s="267"/>
      <c r="I30" s="267"/>
      <c r="J30" s="267"/>
      <c r="K30" s="267"/>
    </row>
    <row r="31" spans="1:13">
      <c r="A31" s="145"/>
    </row>
    <row r="32" spans="1:13">
      <c r="A32" s="134" t="s">
        <v>53</v>
      </c>
    </row>
    <row r="33" spans="1:4">
      <c r="A33" s="134" t="s">
        <v>52</v>
      </c>
    </row>
    <row r="34" spans="1:4">
      <c r="A34" s="134" t="s">
        <v>54</v>
      </c>
    </row>
    <row r="35" spans="1:4">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dimension ref="A1:C18"/>
  <sheetViews>
    <sheetView workbookViewId="0">
      <selection activeCell="E23" sqref="E23"/>
    </sheetView>
  </sheetViews>
  <sheetFormatPr baseColWidth="10" defaultColWidth="10.6640625" defaultRowHeight="15"/>
  <sheetData>
    <row r="1" spans="1:3" ht="18.75">
      <c r="A1" s="289" t="s">
        <v>63</v>
      </c>
      <c r="B1" s="289"/>
      <c r="C1" s="289"/>
    </row>
    <row r="2" spans="1:3" ht="18.75">
      <c r="A2" s="289"/>
      <c r="B2" s="289"/>
      <c r="C2" s="289"/>
    </row>
    <row r="3" spans="1:3" ht="18.75">
      <c r="A3" s="289"/>
      <c r="B3" s="289">
        <v>3.0863751906327962E-2</v>
      </c>
      <c r="C3" s="289">
        <v>-0.74220666306230432</v>
      </c>
    </row>
    <row r="4" spans="1:3" ht="18.75">
      <c r="A4" s="289"/>
      <c r="B4" s="289">
        <v>0.11971131020038227</v>
      </c>
      <c r="C4" s="289">
        <v>-0.52741782311870999</v>
      </c>
    </row>
    <row r="5" spans="1:3" ht="18.75">
      <c r="A5" s="289"/>
      <c r="B5" s="289">
        <v>0.10799173005763243</v>
      </c>
      <c r="C5" s="289">
        <v>-0.23162814729025077</v>
      </c>
    </row>
    <row r="6" spans="1:3" ht="18.75">
      <c r="A6" s="289"/>
      <c r="B6" s="289">
        <v>6.3137472645378639E-2</v>
      </c>
      <c r="C6" s="289">
        <v>8.5110285824464924E-3</v>
      </c>
    </row>
    <row r="7" spans="1:3" ht="18.75">
      <c r="A7" s="289"/>
      <c r="B7" s="289">
        <v>3.4270213419667184E-2</v>
      </c>
      <c r="C7" s="289">
        <v>0.1402469086178906</v>
      </c>
    </row>
    <row r="8" spans="1:3" ht="18.75">
      <c r="A8" s="289"/>
      <c r="B8" s="289">
        <v>-2.5317259552383196E-2</v>
      </c>
      <c r="C8" s="289">
        <v>0.47233262516722013</v>
      </c>
    </row>
    <row r="9" spans="1:3" ht="18.75">
      <c r="A9" s="289"/>
      <c r="B9" s="289">
        <v>-1.9260451791052971E-2</v>
      </c>
      <c r="C9" s="289">
        <v>0.70917560594947104</v>
      </c>
    </row>
    <row r="10" spans="1:3" ht="18.75">
      <c r="A10" s="289"/>
      <c r="B10" s="289">
        <v>1.5089362101401018E-2</v>
      </c>
      <c r="C10" s="289">
        <v>0.7583764458508333</v>
      </c>
    </row>
    <row r="11" spans="1:3" ht="18.75">
      <c r="A11" s="289"/>
      <c r="B11" s="289">
        <v>3.3244298463397763E-2</v>
      </c>
      <c r="C11" s="289">
        <v>0.74609854692425648</v>
      </c>
    </row>
    <row r="12" spans="1:3" ht="18.75">
      <c r="A12" s="289"/>
      <c r="B12" s="289">
        <v>5.5257694241718565E-2</v>
      </c>
      <c r="C12" s="289">
        <v>0.56793003515448237</v>
      </c>
    </row>
    <row r="13" spans="1:3" ht="18.75">
      <c r="A13" s="289"/>
      <c r="B13" s="289">
        <v>2.7030736410430694E-4</v>
      </c>
      <c r="C13" s="289">
        <v>0.25328602427309965</v>
      </c>
    </row>
    <row r="14" spans="1:3" ht="18.75">
      <c r="A14" s="289"/>
      <c r="B14" s="289">
        <v>-6.3177541191315051E-2</v>
      </c>
      <c r="C14" s="289">
        <v>8.3476317986600594E-3</v>
      </c>
    </row>
    <row r="15" spans="1:3" ht="18.75">
      <c r="A15" s="289"/>
      <c r="B15" s="289">
        <v>-8.9821292144996248E-2</v>
      </c>
      <c r="C15" s="289">
        <v>-9.8670210898872568E-2</v>
      </c>
    </row>
    <row r="16" spans="1:3" ht="18.75">
      <c r="A16" s="289"/>
      <c r="B16" s="289">
        <v>-0.14316497060970421</v>
      </c>
      <c r="C16" s="289">
        <v>-0.45115436287218297</v>
      </c>
    </row>
    <row r="17" spans="1:3" ht="18.75">
      <c r="A17" s="289"/>
      <c r="B17" s="289">
        <v>-9.6025857875305404E-2</v>
      </c>
      <c r="C17" s="289">
        <v>-0.70025342394403944</v>
      </c>
    </row>
    <row r="18" spans="1:3" ht="18.75">
      <c r="A18" s="289"/>
      <c r="B18" s="289">
        <v>-1.7194251276516373E-2</v>
      </c>
      <c r="C18" s="289">
        <v>-0.75833210143282381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0"/>
  <sheetViews>
    <sheetView workbookViewId="0">
      <selection activeCell="E9" sqref="E9"/>
    </sheetView>
  </sheetViews>
  <sheetFormatPr baseColWidth="10" defaultColWidth="11.5546875" defaultRowHeight="18.75"/>
  <cols>
    <col min="1" max="1" width="23" style="289" customWidth="1"/>
    <col min="2" max="16384" width="11.5546875" style="289"/>
  </cols>
  <sheetData>
    <row r="1" spans="1:3">
      <c r="A1" s="289" t="s">
        <v>64</v>
      </c>
      <c r="B1" s="289" t="s">
        <v>65</v>
      </c>
    </row>
    <row r="2" spans="1:3">
      <c r="A2" s="289" t="s">
        <v>66</v>
      </c>
    </row>
    <row r="3" spans="1:3">
      <c r="A3" s="289">
        <v>1</v>
      </c>
      <c r="B3" s="289" t="s">
        <v>19</v>
      </c>
      <c r="C3" s="289" t="s">
        <v>20</v>
      </c>
    </row>
    <row r="5" spans="1:3">
      <c r="A5" s="289">
        <v>5</v>
      </c>
      <c r="B5" s="289">
        <v>-1.8817615379084509</v>
      </c>
      <c r="C5" s="289">
        <v>-0.32844680495430745</v>
      </c>
    </row>
    <row r="6" spans="1:3">
      <c r="A6" s="289">
        <v>6</v>
      </c>
      <c r="B6" s="289">
        <v>-1.9929857184990087</v>
      </c>
      <c r="C6" s="289">
        <v>-8.1135646897944572E-2</v>
      </c>
    </row>
    <row r="7" spans="1:3">
      <c r="A7" s="289">
        <v>7</v>
      </c>
      <c r="B7" s="289">
        <v>-1.9683912159384838</v>
      </c>
      <c r="C7" s="289">
        <v>0.17170477141151688</v>
      </c>
    </row>
    <row r="8" spans="1:3">
      <c r="A8" s="289">
        <v>8</v>
      </c>
      <c r="B8" s="289">
        <v>-1.8096541049320392</v>
      </c>
      <c r="C8" s="289">
        <v>0.41284379330483467</v>
      </c>
    </row>
    <row r="9" spans="1:3">
      <c r="A9" s="289">
        <v>9</v>
      </c>
      <c r="B9" s="289">
        <v>-1.5275920572692843</v>
      </c>
      <c r="C9" s="289">
        <v>0.62584819294105465</v>
      </c>
    </row>
    <row r="10" spans="1:3">
      <c r="A10" s="289">
        <v>10</v>
      </c>
      <c r="B10" s="289">
        <v>-1.1414271353688632</v>
      </c>
      <c r="C10" s="289">
        <v>0.7962020724913822</v>
      </c>
    </row>
    <row r="11" spans="1:3">
      <c r="A11" s="289">
        <v>11</v>
      </c>
      <c r="B11" s="289">
        <v>-0.67747584049058263</v>
      </c>
      <c r="C11" s="289">
        <v>0.91229609658755939</v>
      </c>
    </row>
    <row r="12" spans="1:3">
      <c r="A12" s="289">
        <v>12</v>
      </c>
      <c r="B12" s="289">
        <v>-0.16735568666463088</v>
      </c>
      <c r="C12" s="289">
        <v>0.96621864934187773</v>
      </c>
    </row>
    <row r="13" spans="1:3">
      <c r="A13" s="289">
        <v>13</v>
      </c>
      <c r="B13" s="289">
        <v>0.3541694806391667</v>
      </c>
      <c r="C13" s="289">
        <v>0.9542949978953621</v>
      </c>
    </row>
    <row r="14" spans="1:3">
      <c r="A14" s="289">
        <v>14</v>
      </c>
      <c r="B14" s="289">
        <v>0.85155858313014543</v>
      </c>
      <c r="C14" s="289">
        <v>0.87733771938932692</v>
      </c>
    </row>
    <row r="15" spans="1:3">
      <c r="A15" s="289">
        <v>15</v>
      </c>
      <c r="B15" s="289">
        <v>1.2909153754479012</v>
      </c>
      <c r="C15" s="289">
        <v>0.74059132517604254</v>
      </c>
    </row>
    <row r="16" spans="1:3">
      <c r="A16" s="289">
        <v>16</v>
      </c>
      <c r="B16" s="289">
        <v>1.6422984182674081</v>
      </c>
      <c r="C16" s="289">
        <v>0.55337485603704306</v>
      </c>
    </row>
    <row r="17" spans="1:3">
      <c r="A17" s="289">
        <v>17</v>
      </c>
      <c r="B17" s="289">
        <v>1.8817615379084511</v>
      </c>
      <c r="C17" s="289">
        <v>0.32844680495430739</v>
      </c>
    </row>
    <row r="18" spans="1:3">
      <c r="A18" s="289">
        <v>18</v>
      </c>
      <c r="B18" s="289">
        <v>1.9929857184990087</v>
      </c>
      <c r="C18" s="289">
        <v>8.1135646897944683E-2</v>
      </c>
    </row>
    <row r="19" spans="1:3">
      <c r="A19" s="289">
        <v>19</v>
      </c>
      <c r="B19" s="289">
        <v>1.968391215938484</v>
      </c>
      <c r="C19" s="289">
        <v>-0.17170477141151677</v>
      </c>
    </row>
    <row r="20" spans="1:3">
      <c r="A20" s="289">
        <v>20</v>
      </c>
      <c r="B20" s="289">
        <v>1.8096541049320389</v>
      </c>
      <c r="C20" s="289">
        <v>-0.41284379330483473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Analemna</vt:lpstr>
      <vt:lpstr>Ellipse</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vayssie</cp:lastModifiedBy>
  <cp:lastPrinted>2013-08-02T19:27:47Z</cp:lastPrinted>
  <dcterms:created xsi:type="dcterms:W3CDTF">1998-12-24T17:29:06Z</dcterms:created>
  <dcterms:modified xsi:type="dcterms:W3CDTF">2014-01-03T19:30:20Z</dcterms:modified>
</cp:coreProperties>
</file>